
<file path=[Content_Types].xml><?xml version="1.0" encoding="utf-8"?>
<Types xmlns="http://schemas.openxmlformats.org/package/2006/content-types">
  <Default Extension="bin" ContentType="application/vnd.openxmlformats-officedocument.spreadsheetml.printerSettings"/>
  <Default Extension="jfif" ContentType="image/jpeg"/>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https://regeadoo.sharepoint.com/sites/EUProjekti/Shared Documents/Interreg/Euro-MED/INFIRE/INFIRE for project partners/WP1/A1.2/"/>
    </mc:Choice>
  </mc:AlternateContent>
  <xr:revisionPtr revIDLastSave="39" documentId="8_{F80A8899-72E4-45C7-96EC-24FAAE512D58}" xr6:coauthVersionLast="47" xr6:coauthVersionMax="47" xr10:uidLastSave="{D1800A0D-F316-438B-905A-44F747987AC3}"/>
  <bookViews>
    <workbookView xWindow="-120" yWindow="-120" windowWidth="38640" windowHeight="21120" tabRatio="925" xr2:uid="{00000000-000D-0000-FFFF-FFFF00000000}"/>
  </bookViews>
  <sheets>
    <sheet name="Cover" sheetId="61" r:id="rId1"/>
    <sheet name="Project Info" sheetId="62" r:id="rId2"/>
    <sheet name="Disclamer" sheetId="59" r:id="rId3"/>
    <sheet name="Intro" sheetId="60" r:id="rId4"/>
    <sheet name="Definitions" sheetId="46" r:id="rId5"/>
    <sheet name="Dashboard" sheetId="43" r:id="rId6"/>
    <sheet name="INPUTS" sheetId="56" r:id="rId7"/>
    <sheet name="Own Funds" sheetId="45" r:id="rId8"/>
    <sheet name="Own funds + Grant" sheetId="47" r:id="rId9"/>
    <sheet name="Standard loan" sheetId="48" r:id="rId10"/>
    <sheet name="Loan + Grant" sheetId="49" r:id="rId11"/>
    <sheet name="Green loan" sheetId="50" r:id="rId12"/>
    <sheet name="Capital rebate loan (FIs)" sheetId="51" r:id="rId13"/>
    <sheet name="Bonds (standard II)" sheetId="52" r:id="rId14"/>
    <sheet name="Bonds (EuGBS-SLB)" sheetId="53" r:id="rId15"/>
    <sheet name="Analiza osjetljivosti" sheetId="36" state="hidden" r:id="rId16"/>
    <sheet name="Kredit" sheetId="33" state="hidden" r:id="rId17"/>
  </sheets>
  <definedNames>
    <definedName name="Currency">INPUTS!$D$8</definedName>
    <definedName name="_xlnm.Print_Area" localSheetId="4">Definitions!$A$1:$J$10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9" i="56" l="1"/>
  <c r="C10" i="51" l="1"/>
  <c r="C13" i="49"/>
  <c r="C13" i="47"/>
  <c r="C5" i="52"/>
  <c r="C23" i="50" l="1"/>
  <c r="C11" i="50"/>
  <c r="C6" i="50"/>
  <c r="C11" i="49"/>
  <c r="C24" i="49"/>
  <c r="C5" i="49"/>
  <c r="C21" i="48"/>
  <c r="C6" i="47"/>
  <c r="C9" i="48"/>
  <c r="C4" i="48"/>
  <c r="C5" i="45" l="1"/>
  <c r="Y69" i="56" l="1"/>
  <c r="Y68" i="56"/>
  <c r="Y67" i="56"/>
  <c r="Y66" i="56"/>
  <c r="Y65" i="56"/>
  <c r="Y64" i="56"/>
  <c r="Y63" i="56"/>
  <c r="Y61" i="56"/>
  <c r="Y59" i="56"/>
  <c r="Y58" i="56"/>
  <c r="Y51" i="56"/>
  <c r="Y50" i="56"/>
  <c r="Y49" i="56"/>
  <c r="Y38" i="56"/>
  <c r="Y39" i="56"/>
  <c r="Y40" i="56"/>
  <c r="Y41" i="56"/>
  <c r="Y42" i="56"/>
  <c r="Y30" i="56"/>
  <c r="Y31" i="56"/>
  <c r="Y33" i="56"/>
  <c r="Y35" i="56"/>
  <c r="Y36" i="56"/>
  <c r="Y37" i="56"/>
  <c r="C25" i="53" l="1"/>
  <c r="C24" i="53"/>
  <c r="E23" i="53"/>
  <c r="F23" i="53" l="1"/>
  <c r="G23" i="53" l="1"/>
  <c r="H23" i="53" l="1"/>
  <c r="I23" i="53" l="1"/>
  <c r="J23" i="53" l="1"/>
  <c r="K23" i="53" l="1"/>
  <c r="L23" i="53" l="1"/>
  <c r="M23" i="53" l="1"/>
  <c r="N23" i="53" l="1"/>
  <c r="O23" i="53" l="1"/>
  <c r="P23" i="53" l="1"/>
  <c r="Q23" i="53" l="1"/>
  <c r="R23" i="53" l="1"/>
  <c r="S23" i="53" l="1"/>
  <c r="T23" i="53" l="1"/>
  <c r="U23" i="53" l="1"/>
  <c r="V23" i="53" l="1"/>
  <c r="W23" i="53" l="1"/>
  <c r="C22" i="50" l="1"/>
  <c r="C23" i="49"/>
  <c r="B5" i="33"/>
  <c r="B6" i="33" s="1"/>
  <c r="B1" i="33"/>
  <c r="E12" i="33" s="1"/>
  <c r="B10" i="36"/>
  <c r="B3" i="36"/>
  <c r="B9" i="36" s="1"/>
  <c r="B2" i="36"/>
  <c r="B8" i="36" s="1"/>
  <c r="C19" i="53"/>
  <c r="C25" i="52"/>
  <c r="C24" i="52"/>
  <c r="E23" i="52"/>
  <c r="C19" i="52"/>
  <c r="C20" i="51"/>
  <c r="C19" i="51"/>
  <c r="E18" i="51"/>
  <c r="F18" i="51" s="1"/>
  <c r="C21" i="50"/>
  <c r="C20" i="50"/>
  <c r="E19" i="50"/>
  <c r="F19" i="50" s="1"/>
  <c r="G19" i="50" s="1"/>
  <c r="H19" i="50" s="1"/>
  <c r="C22" i="49"/>
  <c r="C21" i="49"/>
  <c r="E20" i="49"/>
  <c r="F20" i="49" s="1"/>
  <c r="G20" i="49" s="1"/>
  <c r="H20" i="49" s="1"/>
  <c r="I20" i="49" s="1"/>
  <c r="J20" i="49" s="1"/>
  <c r="K20" i="49" s="1"/>
  <c r="L20" i="49" s="1"/>
  <c r="M20" i="49" s="1"/>
  <c r="N20" i="49" s="1"/>
  <c r="O20" i="49" s="1"/>
  <c r="C20" i="48"/>
  <c r="C19" i="48"/>
  <c r="C18" i="48"/>
  <c r="E17" i="48"/>
  <c r="F17" i="48" s="1"/>
  <c r="G17" i="48" s="1"/>
  <c r="H17" i="48" s="1"/>
  <c r="C78" i="56"/>
  <c r="C77" i="56"/>
  <c r="C76" i="56"/>
  <c r="X72" i="56"/>
  <c r="C72" i="56"/>
  <c r="C71" i="56"/>
  <c r="C70" i="56"/>
  <c r="C69" i="56"/>
  <c r="C68" i="56"/>
  <c r="C67" i="56"/>
  <c r="C66" i="56"/>
  <c r="C65" i="56"/>
  <c r="C64" i="56"/>
  <c r="C63" i="56"/>
  <c r="C62" i="56"/>
  <c r="C61" i="56"/>
  <c r="C60" i="56"/>
  <c r="C59" i="56"/>
  <c r="C57" i="56"/>
  <c r="C56" i="56"/>
  <c r="C55" i="56"/>
  <c r="C54" i="56"/>
  <c r="C53" i="56"/>
  <c r="C52" i="56"/>
  <c r="C50" i="56"/>
  <c r="C49" i="56"/>
  <c r="X45" i="56"/>
  <c r="C45" i="56"/>
  <c r="C44" i="56"/>
  <c r="C43" i="56"/>
  <c r="C42" i="56"/>
  <c r="C41" i="56"/>
  <c r="C40" i="56"/>
  <c r="C39" i="56"/>
  <c r="C38" i="56"/>
  <c r="C37" i="56"/>
  <c r="C36" i="56"/>
  <c r="C35" i="56"/>
  <c r="C34" i="56"/>
  <c r="C33" i="56"/>
  <c r="C32" i="56"/>
  <c r="C31" i="56"/>
  <c r="C29" i="56"/>
  <c r="C28" i="56"/>
  <c r="C27" i="56"/>
  <c r="C26" i="56"/>
  <c r="C25" i="56"/>
  <c r="C24" i="56"/>
  <c r="C22" i="56"/>
  <c r="C21" i="56"/>
  <c r="D19" i="56"/>
  <c r="D21" i="56" s="1"/>
  <c r="B9" i="56"/>
  <c r="D24" i="56" l="1"/>
  <c r="D60" i="56"/>
  <c r="D71" i="56"/>
  <c r="D52" i="56"/>
  <c r="D59" i="56"/>
  <c r="D33" i="56"/>
  <c r="D56" i="56"/>
  <c r="D68" i="56"/>
  <c r="D65" i="56"/>
  <c r="D49" i="56"/>
  <c r="D53" i="56"/>
  <c r="D41" i="56"/>
  <c r="D62" i="56"/>
  <c r="D35" i="56"/>
  <c r="D50" i="56"/>
  <c r="D22" i="56"/>
  <c r="D54" i="56"/>
  <c r="D27" i="56"/>
  <c r="E19" i="56"/>
  <c r="D67" i="56"/>
  <c r="D55" i="56"/>
  <c r="D47" i="56"/>
  <c r="D75" i="56" s="1"/>
  <c r="D64" i="56"/>
  <c r="D40" i="56"/>
  <c r="D28" i="56"/>
  <c r="D61" i="56"/>
  <c r="D34" i="56"/>
  <c r="D57" i="56"/>
  <c r="D39" i="56"/>
  <c r="D63" i="56"/>
  <c r="D42" i="56"/>
  <c r="P20" i="49"/>
  <c r="I17" i="48"/>
  <c r="J17" i="48" s="1"/>
  <c r="R27" i="53"/>
  <c r="S27" i="53"/>
  <c r="D25" i="53"/>
  <c r="T27" i="53"/>
  <c r="N24" i="53"/>
  <c r="U27" i="53"/>
  <c r="O24" i="53"/>
  <c r="W24" i="53"/>
  <c r="O27" i="53"/>
  <c r="V27" i="53"/>
  <c r="P24" i="53"/>
  <c r="W27" i="53"/>
  <c r="Q24" i="53"/>
  <c r="V24" i="53"/>
  <c r="P27" i="53"/>
  <c r="R24" i="53"/>
  <c r="S24" i="53"/>
  <c r="T24" i="53"/>
  <c r="N27" i="53"/>
  <c r="Q27" i="53"/>
  <c r="U24" i="53"/>
  <c r="E25" i="53"/>
  <c r="G25" i="53"/>
  <c r="H25" i="53"/>
  <c r="I25" i="53"/>
  <c r="J25" i="53"/>
  <c r="K25" i="53"/>
  <c r="L25" i="53"/>
  <c r="N25" i="53"/>
  <c r="O25" i="53"/>
  <c r="P25" i="53"/>
  <c r="Q25" i="53"/>
  <c r="R25" i="53"/>
  <c r="S25" i="53"/>
  <c r="T25" i="53"/>
  <c r="U25" i="53"/>
  <c r="V25" i="53"/>
  <c r="W25" i="53"/>
  <c r="C13" i="33"/>
  <c r="B2" i="33"/>
  <c r="B8" i="33" s="1"/>
  <c r="D25" i="52"/>
  <c r="F23" i="52"/>
  <c r="E25" i="52"/>
  <c r="I19" i="50"/>
  <c r="J19" i="50" s="1"/>
  <c r="K19" i="50" s="1"/>
  <c r="L19" i="50" s="1"/>
  <c r="M19" i="50" s="1"/>
  <c r="G18" i="51"/>
  <c r="W28" i="53" l="1"/>
  <c r="S28" i="53"/>
  <c r="T28" i="53"/>
  <c r="R28" i="53"/>
  <c r="Q28" i="53"/>
  <c r="P28" i="53"/>
  <c r="D70" i="56"/>
  <c r="E71" i="56"/>
  <c r="E68" i="56"/>
  <c r="E65" i="56"/>
  <c r="E49" i="56"/>
  <c r="E38" i="56"/>
  <c r="E42" i="56"/>
  <c r="E53" i="56"/>
  <c r="E44" i="56"/>
  <c r="E41" i="56"/>
  <c r="E29" i="56"/>
  <c r="E62" i="56"/>
  <c r="E35" i="56"/>
  <c r="E63" i="56"/>
  <c r="E36" i="56"/>
  <c r="E26" i="56"/>
  <c r="E59" i="56"/>
  <c r="E32" i="56"/>
  <c r="E22" i="56"/>
  <c r="E67" i="56"/>
  <c r="E55" i="56"/>
  <c r="E47" i="56"/>
  <c r="E75" i="56" s="1"/>
  <c r="E60" i="56"/>
  <c r="E64" i="56"/>
  <c r="E40" i="56"/>
  <c r="E37" i="56"/>
  <c r="E52" i="56"/>
  <c r="E28" i="56"/>
  <c r="E61" i="56"/>
  <c r="E34" i="56"/>
  <c r="E57" i="56"/>
  <c r="E25" i="56"/>
  <c r="E21" i="56"/>
  <c r="E66" i="56"/>
  <c r="E31" i="56"/>
  <c r="E69" i="56"/>
  <c r="E54" i="56"/>
  <c r="E50" i="56"/>
  <c r="E39" i="56"/>
  <c r="E27" i="56"/>
  <c r="F19" i="56"/>
  <c r="E33" i="56"/>
  <c r="E24" i="56"/>
  <c r="E56" i="56"/>
  <c r="O28" i="53"/>
  <c r="Q20" i="49"/>
  <c r="G23" i="52"/>
  <c r="D43" i="56"/>
  <c r="K17" i="48"/>
  <c r="N28" i="53"/>
  <c r="U28" i="53"/>
  <c r="V28" i="53"/>
  <c r="B22" i="33"/>
  <c r="B18" i="33"/>
  <c r="B14" i="33"/>
  <c r="B21" i="33"/>
  <c r="B17" i="33"/>
  <c r="B13" i="33"/>
  <c r="D13" i="33" s="1"/>
  <c r="E13" i="33" s="1"/>
  <c r="B20" i="33"/>
  <c r="B16" i="33"/>
  <c r="B19" i="33"/>
  <c r="B15" i="33"/>
  <c r="N19" i="50"/>
  <c r="H18" i="51"/>
  <c r="D44" i="56" l="1"/>
  <c r="E43" i="56"/>
  <c r="E45" i="56" s="1"/>
  <c r="E76" i="56" s="1"/>
  <c r="H23" i="52"/>
  <c r="G25" i="52"/>
  <c r="C14" i="33"/>
  <c r="D14" i="33" s="1"/>
  <c r="E14" i="33" s="1"/>
  <c r="F71" i="56"/>
  <c r="F53" i="56"/>
  <c r="F44" i="56"/>
  <c r="F41" i="56"/>
  <c r="F29" i="56"/>
  <c r="F62" i="56"/>
  <c r="F35" i="56"/>
  <c r="F27" i="56"/>
  <c r="F26" i="56"/>
  <c r="F59" i="56"/>
  <c r="F32" i="56"/>
  <c r="F22" i="56"/>
  <c r="F67" i="56"/>
  <c r="F55" i="56"/>
  <c r="F47" i="56"/>
  <c r="F75" i="56" s="1"/>
  <c r="F64" i="56"/>
  <c r="F40" i="56"/>
  <c r="F37" i="56"/>
  <c r="F52" i="56"/>
  <c r="F28" i="56"/>
  <c r="G19" i="56"/>
  <c r="F61" i="56"/>
  <c r="F34" i="56"/>
  <c r="F56" i="56"/>
  <c r="F57" i="56"/>
  <c r="F25" i="56"/>
  <c r="F21" i="56"/>
  <c r="F66" i="56"/>
  <c r="F31" i="56"/>
  <c r="F69" i="56"/>
  <c r="F54" i="56"/>
  <c r="F50" i="56"/>
  <c r="F39" i="56"/>
  <c r="F63" i="56"/>
  <c r="F42" i="56"/>
  <c r="F36" i="56"/>
  <c r="F24" i="56"/>
  <c r="F60" i="56"/>
  <c r="F33" i="56"/>
  <c r="F49" i="56"/>
  <c r="F38" i="56"/>
  <c r="F68" i="56"/>
  <c r="F65" i="56"/>
  <c r="L17" i="48"/>
  <c r="R20" i="49"/>
  <c r="E70" i="56"/>
  <c r="E72" i="56" s="1"/>
  <c r="E77" i="56" s="1"/>
  <c r="O19" i="50"/>
  <c r="N21" i="50"/>
  <c r="N20" i="50"/>
  <c r="I18" i="51"/>
  <c r="N23" i="50" l="1"/>
  <c r="D45" i="56"/>
  <c r="D76" i="56" s="1"/>
  <c r="D72" i="56"/>
  <c r="D77" i="56" s="1"/>
  <c r="E78" i="56"/>
  <c r="C15" i="33"/>
  <c r="D15" i="33" s="1"/>
  <c r="E15" i="33" s="1"/>
  <c r="I23" i="52"/>
  <c r="H25" i="52"/>
  <c r="M17" i="48"/>
  <c r="S20" i="49"/>
  <c r="F43" i="56"/>
  <c r="G71" i="56"/>
  <c r="G62" i="56"/>
  <c r="G35" i="56"/>
  <c r="G26" i="56"/>
  <c r="G65" i="56"/>
  <c r="G59" i="56"/>
  <c r="G32" i="56"/>
  <c r="G22" i="56"/>
  <c r="G67" i="56"/>
  <c r="G55" i="56"/>
  <c r="G47" i="56"/>
  <c r="G75" i="56" s="1"/>
  <c r="G60" i="56"/>
  <c r="G64" i="56"/>
  <c r="G40" i="56"/>
  <c r="G37" i="56"/>
  <c r="G52" i="56"/>
  <c r="G28" i="56"/>
  <c r="G33" i="56"/>
  <c r="G61" i="56"/>
  <c r="G34" i="56"/>
  <c r="G68" i="56"/>
  <c r="G57" i="56"/>
  <c r="G25" i="56"/>
  <c r="G21" i="56"/>
  <c r="G49" i="56"/>
  <c r="G66" i="56"/>
  <c r="G31" i="56"/>
  <c r="G69" i="56"/>
  <c r="G54" i="56"/>
  <c r="G50" i="56"/>
  <c r="G39" i="56"/>
  <c r="G63" i="56"/>
  <c r="G42" i="56"/>
  <c r="G36" i="56"/>
  <c r="G38" i="56"/>
  <c r="G27" i="56"/>
  <c r="H19" i="56"/>
  <c r="G56" i="56"/>
  <c r="G24" i="56"/>
  <c r="G41" i="56"/>
  <c r="G44" i="56"/>
  <c r="G53" i="56"/>
  <c r="G29" i="56"/>
  <c r="F70" i="56"/>
  <c r="F72" i="56" s="1"/>
  <c r="F77" i="56" s="1"/>
  <c r="P19" i="50"/>
  <c r="O20" i="50"/>
  <c r="O21" i="50"/>
  <c r="J18" i="51"/>
  <c r="E79" i="56" l="1"/>
  <c r="D78" i="56"/>
  <c r="D79" i="56" s="1"/>
  <c r="F45" i="56"/>
  <c r="F76" i="56" s="1"/>
  <c r="F78" i="56" s="1"/>
  <c r="F79" i="56" s="1"/>
  <c r="O23" i="50"/>
  <c r="C16" i="33"/>
  <c r="D16" i="33" s="1"/>
  <c r="E16" i="33" s="1"/>
  <c r="N17" i="48"/>
  <c r="H71" i="56"/>
  <c r="H26" i="56"/>
  <c r="H59" i="56"/>
  <c r="H32" i="56"/>
  <c r="H22" i="56"/>
  <c r="H67" i="56"/>
  <c r="H55" i="56"/>
  <c r="H47" i="56"/>
  <c r="H75" i="56" s="1"/>
  <c r="H53" i="56"/>
  <c r="H64" i="56"/>
  <c r="H40" i="56"/>
  <c r="H37" i="56"/>
  <c r="H29" i="56"/>
  <c r="H52" i="56"/>
  <c r="H28" i="56"/>
  <c r="H41" i="56"/>
  <c r="H61" i="56"/>
  <c r="H34" i="56"/>
  <c r="H57" i="56"/>
  <c r="H25" i="56"/>
  <c r="H21" i="56"/>
  <c r="H66" i="56"/>
  <c r="H31" i="56"/>
  <c r="H56" i="56"/>
  <c r="H44" i="56"/>
  <c r="H69" i="56"/>
  <c r="H54" i="56"/>
  <c r="H50" i="56"/>
  <c r="H39" i="56"/>
  <c r="H63" i="56"/>
  <c r="H42" i="56"/>
  <c r="H36" i="56"/>
  <c r="H27" i="56"/>
  <c r="I19" i="56"/>
  <c r="H60" i="56"/>
  <c r="H33" i="56"/>
  <c r="H24" i="56"/>
  <c r="H68" i="56"/>
  <c r="H65" i="56"/>
  <c r="H49" i="56"/>
  <c r="H38" i="56"/>
  <c r="H62" i="56"/>
  <c r="H35" i="56"/>
  <c r="J23" i="52"/>
  <c r="I25" i="52"/>
  <c r="G43" i="56"/>
  <c r="G45" i="56" s="1"/>
  <c r="G76" i="56" s="1"/>
  <c r="T20" i="49"/>
  <c r="S22" i="49"/>
  <c r="S21" i="49"/>
  <c r="G70" i="56"/>
  <c r="G72" i="56" s="1"/>
  <c r="G77" i="56" s="1"/>
  <c r="Q19" i="50"/>
  <c r="P21" i="50"/>
  <c r="P20" i="50"/>
  <c r="K18" i="51"/>
  <c r="S24" i="49" l="1"/>
  <c r="C17" i="33"/>
  <c r="D17" i="33" s="1"/>
  <c r="E17" i="33" s="1"/>
  <c r="I71" i="56"/>
  <c r="I59" i="56"/>
  <c r="I32" i="56"/>
  <c r="I22" i="56"/>
  <c r="I67" i="56"/>
  <c r="I55" i="56"/>
  <c r="I47" i="56"/>
  <c r="I75" i="56" s="1"/>
  <c r="I38" i="56"/>
  <c r="I64" i="56"/>
  <c r="I40" i="56"/>
  <c r="I37" i="56"/>
  <c r="I68" i="56"/>
  <c r="I62" i="56"/>
  <c r="I52" i="56"/>
  <c r="I28" i="56"/>
  <c r="I61" i="56"/>
  <c r="I34" i="56"/>
  <c r="I57" i="56"/>
  <c r="I25" i="56"/>
  <c r="I21" i="56"/>
  <c r="I65" i="56"/>
  <c r="I66" i="56"/>
  <c r="I31" i="56"/>
  <c r="I69" i="56"/>
  <c r="I54" i="56"/>
  <c r="I50" i="56"/>
  <c r="I39" i="56"/>
  <c r="I63" i="56"/>
  <c r="I42" i="56"/>
  <c r="I36" i="56"/>
  <c r="I27" i="56"/>
  <c r="J19" i="56"/>
  <c r="I35" i="56"/>
  <c r="I60" i="56"/>
  <c r="I33" i="56"/>
  <c r="I56" i="56"/>
  <c r="I24" i="56"/>
  <c r="I49" i="56"/>
  <c r="I53" i="56"/>
  <c r="I44" i="56"/>
  <c r="I41" i="56"/>
  <c r="I29" i="56"/>
  <c r="I26" i="56"/>
  <c r="H70" i="56"/>
  <c r="H72" i="56" s="1"/>
  <c r="H77" i="56" s="1"/>
  <c r="O17" i="48"/>
  <c r="N19" i="48"/>
  <c r="G78" i="56"/>
  <c r="G79" i="56" s="1"/>
  <c r="U20" i="49"/>
  <c r="T21" i="49"/>
  <c r="T22" i="49"/>
  <c r="K23" i="52"/>
  <c r="J25" i="52"/>
  <c r="P23" i="50"/>
  <c r="H43" i="56"/>
  <c r="H45" i="56" s="1"/>
  <c r="H76" i="56" s="1"/>
  <c r="R19" i="50"/>
  <c r="Q21" i="50"/>
  <c r="Q20" i="50"/>
  <c r="L18" i="51"/>
  <c r="Q23" i="50" l="1"/>
  <c r="H78" i="56"/>
  <c r="H79" i="56" s="1"/>
  <c r="C18" i="33"/>
  <c r="D18" i="33" s="1"/>
  <c r="E18" i="33" s="1"/>
  <c r="V20" i="49"/>
  <c r="U21" i="49"/>
  <c r="U22" i="49"/>
  <c r="T24" i="49"/>
  <c r="I70" i="56"/>
  <c r="I72" i="56" s="1"/>
  <c r="I77" i="56" s="1"/>
  <c r="J71" i="56"/>
  <c r="J67" i="56"/>
  <c r="J55" i="56"/>
  <c r="J47" i="56"/>
  <c r="J75" i="56" s="1"/>
  <c r="J29" i="56"/>
  <c r="J64" i="56"/>
  <c r="J40" i="56"/>
  <c r="J37" i="56"/>
  <c r="J53" i="56"/>
  <c r="J26" i="56"/>
  <c r="J52" i="56"/>
  <c r="J28" i="56"/>
  <c r="J61" i="56"/>
  <c r="J34" i="56"/>
  <c r="J41" i="56"/>
  <c r="J57" i="56"/>
  <c r="J25" i="56"/>
  <c r="J21" i="56"/>
  <c r="J66" i="56"/>
  <c r="J31" i="56"/>
  <c r="J44" i="56"/>
  <c r="J69" i="56"/>
  <c r="J54" i="56"/>
  <c r="J50" i="56"/>
  <c r="J39" i="56"/>
  <c r="J63" i="56"/>
  <c r="J42" i="56"/>
  <c r="J36" i="56"/>
  <c r="J27" i="56"/>
  <c r="K19" i="56"/>
  <c r="J60" i="56"/>
  <c r="J33" i="56"/>
  <c r="J56" i="56"/>
  <c r="J24" i="56"/>
  <c r="J68" i="56"/>
  <c r="J65" i="56"/>
  <c r="J49" i="56"/>
  <c r="J38" i="56"/>
  <c r="J62" i="56"/>
  <c r="J35" i="56"/>
  <c r="J22" i="56"/>
  <c r="J32" i="56"/>
  <c r="J59" i="56"/>
  <c r="I43" i="56"/>
  <c r="I45" i="56" s="1"/>
  <c r="I76" i="56" s="1"/>
  <c r="L23" i="52"/>
  <c r="K25" i="52"/>
  <c r="P17" i="48"/>
  <c r="O19" i="48"/>
  <c r="S19" i="50"/>
  <c r="R21" i="50"/>
  <c r="R20" i="50"/>
  <c r="M18" i="51"/>
  <c r="I78" i="56" l="1"/>
  <c r="I79" i="56" s="1"/>
  <c r="R23" i="50"/>
  <c r="C19" i="33"/>
  <c r="D19" i="33" s="1"/>
  <c r="E19" i="33" s="1"/>
  <c r="J43" i="56"/>
  <c r="J45" i="56" s="1"/>
  <c r="J76" i="56" s="1"/>
  <c r="J70" i="56"/>
  <c r="J72" i="56" s="1"/>
  <c r="J77" i="56" s="1"/>
  <c r="U24" i="49"/>
  <c r="W20" i="49"/>
  <c r="V21" i="49"/>
  <c r="V22" i="49"/>
  <c r="M23" i="52"/>
  <c r="L25" i="52"/>
  <c r="Q17" i="48"/>
  <c r="P19" i="48"/>
  <c r="K71" i="56"/>
  <c r="K64" i="56"/>
  <c r="K40" i="56"/>
  <c r="K37" i="56"/>
  <c r="K52" i="56"/>
  <c r="K28" i="56"/>
  <c r="K32" i="56"/>
  <c r="K61" i="56"/>
  <c r="K34" i="56"/>
  <c r="K59" i="56"/>
  <c r="K57" i="56"/>
  <c r="K25" i="56"/>
  <c r="K21" i="56"/>
  <c r="K35" i="56"/>
  <c r="K66" i="56"/>
  <c r="K31" i="56"/>
  <c r="K22" i="56"/>
  <c r="K69" i="56"/>
  <c r="K54" i="56"/>
  <c r="K50" i="56"/>
  <c r="K39" i="56"/>
  <c r="K63" i="56"/>
  <c r="K42" i="56"/>
  <c r="K36" i="56"/>
  <c r="K27" i="56"/>
  <c r="L19" i="56"/>
  <c r="K60" i="56"/>
  <c r="K33" i="56"/>
  <c r="K56" i="56"/>
  <c r="K24" i="56"/>
  <c r="K68" i="56"/>
  <c r="K65" i="56"/>
  <c r="K49" i="56"/>
  <c r="K38" i="56"/>
  <c r="K62" i="56"/>
  <c r="K53" i="56"/>
  <c r="K44" i="56"/>
  <c r="K41" i="56"/>
  <c r="K29" i="56"/>
  <c r="K26" i="56"/>
  <c r="K67" i="56"/>
  <c r="K47" i="56"/>
  <c r="K75" i="56" s="1"/>
  <c r="K55" i="56"/>
  <c r="T19" i="50"/>
  <c r="S20" i="50"/>
  <c r="S21" i="50"/>
  <c r="N18" i="51"/>
  <c r="J78" i="56" l="1"/>
  <c r="C20" i="33"/>
  <c r="D20" i="33" s="1"/>
  <c r="E20" i="33" s="1"/>
  <c r="W21" i="49"/>
  <c r="W22" i="49"/>
  <c r="R17" i="48"/>
  <c r="Q19" i="48"/>
  <c r="K70" i="56"/>
  <c r="K72" i="56" s="1"/>
  <c r="K77" i="56" s="1"/>
  <c r="S23" i="50"/>
  <c r="V24" i="49"/>
  <c r="N19" i="51"/>
  <c r="N20" i="51"/>
  <c r="N23" i="52"/>
  <c r="L71" i="56"/>
  <c r="L52" i="56"/>
  <c r="L28" i="56"/>
  <c r="L61" i="56"/>
  <c r="L34" i="56"/>
  <c r="L57" i="56"/>
  <c r="L25" i="56"/>
  <c r="L21" i="56"/>
  <c r="L66" i="56"/>
  <c r="L31" i="56"/>
  <c r="L26" i="56"/>
  <c r="L67" i="56"/>
  <c r="L69" i="56"/>
  <c r="L54" i="56"/>
  <c r="L50" i="56"/>
  <c r="L39" i="56"/>
  <c r="L63" i="56"/>
  <c r="L42" i="56"/>
  <c r="L36" i="56"/>
  <c r="L47" i="56"/>
  <c r="L75" i="56" s="1"/>
  <c r="L27" i="56"/>
  <c r="M19" i="56"/>
  <c r="L60" i="56"/>
  <c r="L33" i="56"/>
  <c r="L56" i="56"/>
  <c r="L24" i="56"/>
  <c r="L68" i="56"/>
  <c r="L65" i="56"/>
  <c r="L49" i="56"/>
  <c r="L38" i="56"/>
  <c r="L53" i="56"/>
  <c r="L44" i="56"/>
  <c r="L41" i="56"/>
  <c r="L29" i="56"/>
  <c r="L62" i="56"/>
  <c r="L35" i="56"/>
  <c r="L55" i="56"/>
  <c r="L59" i="56"/>
  <c r="L32" i="56"/>
  <c r="L22" i="56"/>
  <c r="L40" i="56"/>
  <c r="L37" i="56"/>
  <c r="L64" i="56"/>
  <c r="K43" i="56"/>
  <c r="K45" i="56" s="1"/>
  <c r="K76" i="56" s="1"/>
  <c r="U19" i="50"/>
  <c r="T20" i="50"/>
  <c r="T21" i="50"/>
  <c r="O18" i="51"/>
  <c r="J79" i="56" l="1"/>
  <c r="K78" i="56"/>
  <c r="K79" i="56" s="1"/>
  <c r="T23" i="50"/>
  <c r="W24" i="49"/>
  <c r="C21" i="33"/>
  <c r="D21" i="33" s="1"/>
  <c r="E21" i="33" s="1"/>
  <c r="M71" i="56"/>
  <c r="M61" i="56"/>
  <c r="M34" i="56"/>
  <c r="M57" i="56"/>
  <c r="M25" i="56"/>
  <c r="M21" i="56"/>
  <c r="M37" i="56"/>
  <c r="M66" i="56"/>
  <c r="M31" i="56"/>
  <c r="M69" i="56"/>
  <c r="M54" i="56"/>
  <c r="M50" i="56"/>
  <c r="M39" i="56"/>
  <c r="M63" i="56"/>
  <c r="M42" i="56"/>
  <c r="M36" i="56"/>
  <c r="M22" i="56"/>
  <c r="M27" i="56"/>
  <c r="N19" i="56"/>
  <c r="M59" i="56"/>
  <c r="M60" i="56"/>
  <c r="M33" i="56"/>
  <c r="M56" i="56"/>
  <c r="M24" i="56"/>
  <c r="M40" i="56"/>
  <c r="M68" i="56"/>
  <c r="M65" i="56"/>
  <c r="M49" i="56"/>
  <c r="M38" i="56"/>
  <c r="M53" i="56"/>
  <c r="M44" i="56"/>
  <c r="M41" i="56"/>
  <c r="M29" i="56"/>
  <c r="M64" i="56"/>
  <c r="M62" i="56"/>
  <c r="M35" i="56"/>
  <c r="M26" i="56"/>
  <c r="M32" i="56"/>
  <c r="M67" i="56"/>
  <c r="M55" i="56"/>
  <c r="M47" i="56"/>
  <c r="M75" i="56" s="1"/>
  <c r="M28" i="56"/>
  <c r="M52" i="56"/>
  <c r="N22" i="51"/>
  <c r="S17" i="48"/>
  <c r="R19" i="48"/>
  <c r="O23" i="52"/>
  <c r="N25" i="52"/>
  <c r="N24" i="52"/>
  <c r="N27" i="52"/>
  <c r="O19" i="51"/>
  <c r="O20" i="51"/>
  <c r="L70" i="56"/>
  <c r="L72" i="56" s="1"/>
  <c r="L77" i="56" s="1"/>
  <c r="L43" i="56"/>
  <c r="L45" i="56" s="1"/>
  <c r="L76" i="56" s="1"/>
  <c r="V19" i="50"/>
  <c r="U20" i="50"/>
  <c r="U21" i="50"/>
  <c r="P18" i="51"/>
  <c r="L78" i="56" l="1"/>
  <c r="C22" i="33"/>
  <c r="D22" i="33" s="1"/>
  <c r="E22" i="33" s="1"/>
  <c r="M43" i="56"/>
  <c r="M45" i="56" s="1"/>
  <c r="M76" i="56" s="1"/>
  <c r="N71" i="56"/>
  <c r="N57" i="56"/>
  <c r="N25" i="56"/>
  <c r="N21" i="56"/>
  <c r="N66" i="56"/>
  <c r="N31" i="56"/>
  <c r="N69" i="56"/>
  <c r="N54" i="56"/>
  <c r="N50" i="56"/>
  <c r="N39" i="56"/>
  <c r="N63" i="56"/>
  <c r="N42" i="56"/>
  <c r="N36" i="56"/>
  <c r="N27" i="56"/>
  <c r="O19" i="56"/>
  <c r="N60" i="56"/>
  <c r="N33" i="56"/>
  <c r="N56" i="56"/>
  <c r="N24" i="56"/>
  <c r="N67" i="56"/>
  <c r="N52" i="56"/>
  <c r="N68" i="56"/>
  <c r="N65" i="56"/>
  <c r="N49" i="56"/>
  <c r="N38" i="56"/>
  <c r="N47" i="56"/>
  <c r="N75" i="56" s="1"/>
  <c r="N53" i="56"/>
  <c r="N44" i="56"/>
  <c r="N41" i="56"/>
  <c r="N29" i="56"/>
  <c r="N62" i="56"/>
  <c r="N35" i="56"/>
  <c r="N26" i="56"/>
  <c r="N28" i="56"/>
  <c r="N59" i="56"/>
  <c r="N32" i="56"/>
  <c r="N22" i="56"/>
  <c r="N55" i="56"/>
  <c r="N64" i="56"/>
  <c r="N40" i="56"/>
  <c r="N37" i="56"/>
  <c r="N34" i="56"/>
  <c r="N61" i="56"/>
  <c r="T17" i="48"/>
  <c r="S18" i="48"/>
  <c r="S19" i="48"/>
  <c r="P23" i="52"/>
  <c r="O25" i="52"/>
  <c r="O27" i="52"/>
  <c r="O24" i="52"/>
  <c r="M70" i="56"/>
  <c r="M72" i="56" s="1"/>
  <c r="M77" i="56" s="1"/>
  <c r="O22" i="51"/>
  <c r="P19" i="51"/>
  <c r="P20" i="51"/>
  <c r="U23" i="50"/>
  <c r="W19" i="50"/>
  <c r="V20" i="50"/>
  <c r="V21" i="50"/>
  <c r="Q18" i="51"/>
  <c r="L79" i="56" l="1"/>
  <c r="S21" i="48"/>
  <c r="U17" i="48"/>
  <c r="T19" i="48"/>
  <c r="T18" i="48"/>
  <c r="Q19" i="51"/>
  <c r="Q20" i="51"/>
  <c r="N43" i="56"/>
  <c r="Q23" i="52"/>
  <c r="P25" i="52"/>
  <c r="P24" i="52"/>
  <c r="P27" i="52"/>
  <c r="O69" i="56"/>
  <c r="O66" i="56"/>
  <c r="O31" i="56"/>
  <c r="O54" i="56"/>
  <c r="O50" i="56"/>
  <c r="O39" i="56"/>
  <c r="O63" i="56"/>
  <c r="O42" i="56"/>
  <c r="O36" i="56"/>
  <c r="O27" i="56"/>
  <c r="P19" i="56"/>
  <c r="O61" i="56"/>
  <c r="O60" i="56"/>
  <c r="O33" i="56"/>
  <c r="O64" i="56"/>
  <c r="O56" i="56"/>
  <c r="O24" i="56"/>
  <c r="O68" i="56"/>
  <c r="O65" i="56"/>
  <c r="O49" i="56"/>
  <c r="O38" i="56"/>
  <c r="O37" i="56"/>
  <c r="O53" i="56"/>
  <c r="O44" i="56"/>
  <c r="O41" i="56"/>
  <c r="O29" i="56"/>
  <c r="O40" i="56"/>
  <c r="O62" i="56"/>
  <c r="O35" i="56"/>
  <c r="O26" i="56"/>
  <c r="O71" i="56"/>
  <c r="O59" i="56"/>
  <c r="O32" i="56"/>
  <c r="O22" i="56"/>
  <c r="O67" i="56"/>
  <c r="O55" i="56"/>
  <c r="O47" i="56"/>
  <c r="O75" i="56" s="1"/>
  <c r="O34" i="56"/>
  <c r="O52" i="56"/>
  <c r="O28" i="56"/>
  <c r="O57" i="56"/>
  <c r="O25" i="56"/>
  <c r="O21" i="56"/>
  <c r="M78" i="56"/>
  <c r="M79" i="56" s="1"/>
  <c r="N70" i="56"/>
  <c r="N72" i="56" s="1"/>
  <c r="N77" i="56" s="1"/>
  <c r="V23" i="50"/>
  <c r="P22" i="51"/>
  <c r="W21" i="50"/>
  <c r="W20" i="50"/>
  <c r="R18" i="51"/>
  <c r="W23" i="50" l="1"/>
  <c r="T21" i="48"/>
  <c r="N45" i="56"/>
  <c r="N76" i="56" s="1"/>
  <c r="N78" i="56" s="1"/>
  <c r="N79" i="56" s="1"/>
  <c r="Q22" i="51"/>
  <c r="R23" i="52"/>
  <c r="Q25" i="52"/>
  <c r="Q27" i="52"/>
  <c r="Q24" i="52"/>
  <c r="V17" i="48"/>
  <c r="U18" i="48"/>
  <c r="U19" i="48"/>
  <c r="R20" i="51"/>
  <c r="R19" i="51"/>
  <c r="O70" i="56"/>
  <c r="O72" i="56" s="1"/>
  <c r="O77" i="56" s="1"/>
  <c r="O43" i="56"/>
  <c r="O45" i="56" s="1"/>
  <c r="O76" i="56" s="1"/>
  <c r="P54" i="56"/>
  <c r="P50" i="56"/>
  <c r="P39" i="56"/>
  <c r="P21" i="56"/>
  <c r="P69" i="56"/>
  <c r="P63" i="56"/>
  <c r="P42" i="56"/>
  <c r="P36" i="56"/>
  <c r="P57" i="56"/>
  <c r="P27" i="56"/>
  <c r="Q19" i="56"/>
  <c r="P60" i="56"/>
  <c r="P33" i="56"/>
  <c r="P56" i="56"/>
  <c r="P24" i="56"/>
  <c r="P52" i="56"/>
  <c r="P68" i="56"/>
  <c r="P65" i="56"/>
  <c r="P49" i="56"/>
  <c r="P38" i="56"/>
  <c r="P53" i="56"/>
  <c r="P44" i="56"/>
  <c r="P41" i="56"/>
  <c r="P29" i="56"/>
  <c r="P28" i="56"/>
  <c r="P62" i="56"/>
  <c r="P35" i="56"/>
  <c r="P25" i="56"/>
  <c r="P26" i="56"/>
  <c r="P71" i="56"/>
  <c r="P59" i="56"/>
  <c r="P32" i="56"/>
  <c r="P22" i="56"/>
  <c r="P67" i="56"/>
  <c r="P55" i="56"/>
  <c r="P47" i="56"/>
  <c r="P75" i="56" s="1"/>
  <c r="P64" i="56"/>
  <c r="P40" i="56"/>
  <c r="P37" i="56"/>
  <c r="P61" i="56"/>
  <c r="P34" i="56"/>
  <c r="P66" i="56"/>
  <c r="P31" i="56"/>
  <c r="S18" i="51"/>
  <c r="S23" i="52" l="1"/>
  <c r="R25" i="52"/>
  <c r="R27" i="52"/>
  <c r="R24" i="52"/>
  <c r="U21" i="48"/>
  <c r="W17" i="48"/>
  <c r="V19" i="48"/>
  <c r="V18" i="48"/>
  <c r="Q69" i="56"/>
  <c r="Q71" i="56"/>
  <c r="Q63" i="56"/>
  <c r="Q42" i="56"/>
  <c r="Q36" i="56"/>
  <c r="Q61" i="56"/>
  <c r="Q27" i="56"/>
  <c r="R19" i="56"/>
  <c r="Q60" i="56"/>
  <c r="Q33" i="56"/>
  <c r="Q66" i="56"/>
  <c r="Q56" i="56"/>
  <c r="Q24" i="56"/>
  <c r="Q68" i="56"/>
  <c r="Q65" i="56"/>
  <c r="Q49" i="56"/>
  <c r="Q38" i="56"/>
  <c r="Q34" i="56"/>
  <c r="Q53" i="56"/>
  <c r="Q44" i="56"/>
  <c r="Q41" i="56"/>
  <c r="Q29" i="56"/>
  <c r="Q62" i="56"/>
  <c r="Q35" i="56"/>
  <c r="Q26" i="56"/>
  <c r="Q31" i="56"/>
  <c r="Q59" i="56"/>
  <c r="Q32" i="56"/>
  <c r="Q22" i="56"/>
  <c r="Q67" i="56"/>
  <c r="Q55" i="56"/>
  <c r="Q47" i="56"/>
  <c r="Q75" i="56" s="1"/>
  <c r="Q64" i="56"/>
  <c r="Q40" i="56"/>
  <c r="Q37" i="56"/>
  <c r="Q52" i="56"/>
  <c r="Q28" i="56"/>
  <c r="Q57" i="56"/>
  <c r="Q25" i="56"/>
  <c r="Q21" i="56"/>
  <c r="Q50" i="56"/>
  <c r="Q39" i="56"/>
  <c r="Q54" i="56"/>
  <c r="P70" i="56"/>
  <c r="P72" i="56" s="1"/>
  <c r="P77" i="56" s="1"/>
  <c r="P43" i="56"/>
  <c r="O78" i="56"/>
  <c r="O79" i="56" s="1"/>
  <c r="S20" i="51"/>
  <c r="S19" i="51"/>
  <c r="R22" i="51"/>
  <c r="T18" i="51"/>
  <c r="S22" i="51" l="1"/>
  <c r="P45" i="56"/>
  <c r="P76" i="56" s="1"/>
  <c r="P78" i="56" s="1"/>
  <c r="Q70" i="56"/>
  <c r="Q72" i="56" s="1"/>
  <c r="Q77" i="56" s="1"/>
  <c r="V21" i="48"/>
  <c r="T23" i="52"/>
  <c r="S25" i="52"/>
  <c r="S27" i="52"/>
  <c r="S24" i="52"/>
  <c r="R69" i="56"/>
  <c r="R71" i="56"/>
  <c r="R27" i="56"/>
  <c r="S19" i="56"/>
  <c r="R21" i="56"/>
  <c r="R54" i="56"/>
  <c r="R60" i="56"/>
  <c r="R33" i="56"/>
  <c r="R56" i="56"/>
  <c r="R24" i="56"/>
  <c r="R68" i="56"/>
  <c r="R65" i="56"/>
  <c r="R49" i="56"/>
  <c r="R38" i="56"/>
  <c r="R39" i="56"/>
  <c r="R53" i="56"/>
  <c r="R44" i="56"/>
  <c r="R41" i="56"/>
  <c r="R29" i="56"/>
  <c r="R57" i="56"/>
  <c r="R62" i="56"/>
  <c r="R35" i="56"/>
  <c r="R26" i="56"/>
  <c r="R59" i="56"/>
  <c r="R32" i="56"/>
  <c r="R22" i="56"/>
  <c r="R25" i="56"/>
  <c r="R67" i="56"/>
  <c r="R55" i="56"/>
  <c r="R47" i="56"/>
  <c r="R75" i="56" s="1"/>
  <c r="R64" i="56"/>
  <c r="R40" i="56"/>
  <c r="R37" i="56"/>
  <c r="R52" i="56"/>
  <c r="R28" i="56"/>
  <c r="R50" i="56"/>
  <c r="R61" i="56"/>
  <c r="R34" i="56"/>
  <c r="R66" i="56"/>
  <c r="R31" i="56"/>
  <c r="R36" i="56"/>
  <c r="R63" i="56"/>
  <c r="R42" i="56"/>
  <c r="T20" i="51"/>
  <c r="T19" i="51"/>
  <c r="W18" i="48"/>
  <c r="W19" i="48"/>
  <c r="Q43" i="56"/>
  <c r="Q45" i="56" s="1"/>
  <c r="Q76" i="56" s="1"/>
  <c r="U18" i="51"/>
  <c r="P79" i="56" l="1"/>
  <c r="Q78" i="56"/>
  <c r="U23" i="52"/>
  <c r="T25" i="52"/>
  <c r="T24" i="52"/>
  <c r="T27" i="52"/>
  <c r="U19" i="51"/>
  <c r="U20" i="51"/>
  <c r="S69" i="56"/>
  <c r="S71" i="56"/>
  <c r="S60" i="56"/>
  <c r="S33" i="56"/>
  <c r="S56" i="56"/>
  <c r="S24" i="56"/>
  <c r="S42" i="56"/>
  <c r="S68" i="56"/>
  <c r="S65" i="56"/>
  <c r="S49" i="56"/>
  <c r="S38" i="56"/>
  <c r="S53" i="56"/>
  <c r="S44" i="56"/>
  <c r="S41" i="56"/>
  <c r="S29" i="56"/>
  <c r="S62" i="56"/>
  <c r="S35" i="56"/>
  <c r="S26" i="56"/>
  <c r="S59" i="56"/>
  <c r="S32" i="56"/>
  <c r="S22" i="56"/>
  <c r="S67" i="56"/>
  <c r="S55" i="56"/>
  <c r="S47" i="56"/>
  <c r="S75" i="56" s="1"/>
  <c r="S66" i="56"/>
  <c r="S36" i="56"/>
  <c r="S64" i="56"/>
  <c r="S40" i="56"/>
  <c r="S37" i="56"/>
  <c r="S52" i="56"/>
  <c r="S28" i="56"/>
  <c r="S61" i="56"/>
  <c r="S34" i="56"/>
  <c r="S31" i="56"/>
  <c r="S57" i="56"/>
  <c r="S25" i="56"/>
  <c r="S21" i="56"/>
  <c r="S63" i="56"/>
  <c r="S54" i="56"/>
  <c r="S50" i="56"/>
  <c r="S39" i="56"/>
  <c r="S27" i="56"/>
  <c r="T19" i="56"/>
  <c r="R70" i="56"/>
  <c r="R72" i="56" s="1"/>
  <c r="R77" i="56" s="1"/>
  <c r="R43" i="56"/>
  <c r="W21" i="48"/>
  <c r="T22" i="51"/>
  <c r="V18" i="51"/>
  <c r="Q79" i="56" l="1"/>
  <c r="R45" i="56"/>
  <c r="R76" i="56" s="1"/>
  <c r="R78" i="56" s="1"/>
  <c r="R79" i="56" s="1"/>
  <c r="S70" i="56"/>
  <c r="S72" i="56" s="1"/>
  <c r="S77" i="56" s="1"/>
  <c r="T69" i="56"/>
  <c r="T71" i="56"/>
  <c r="T56" i="56"/>
  <c r="T24" i="56"/>
  <c r="T50" i="56"/>
  <c r="T68" i="56"/>
  <c r="T65" i="56"/>
  <c r="T49" i="56"/>
  <c r="T38" i="56"/>
  <c r="T53" i="56"/>
  <c r="T44" i="56"/>
  <c r="T41" i="56"/>
  <c r="T29" i="56"/>
  <c r="T62" i="56"/>
  <c r="T35" i="56"/>
  <c r="U19" i="56"/>
  <c r="T26" i="56"/>
  <c r="T59" i="56"/>
  <c r="T32" i="56"/>
  <c r="T22" i="56"/>
  <c r="T39" i="56"/>
  <c r="T67" i="56"/>
  <c r="T55" i="56"/>
  <c r="T47" i="56"/>
  <c r="T75" i="56" s="1"/>
  <c r="T54" i="56"/>
  <c r="T64" i="56"/>
  <c r="T40" i="56"/>
  <c r="T37" i="56"/>
  <c r="T52" i="56"/>
  <c r="T28" i="56"/>
  <c r="T61" i="56"/>
  <c r="T34" i="56"/>
  <c r="T57" i="56"/>
  <c r="T25" i="56"/>
  <c r="T21" i="56"/>
  <c r="T66" i="56"/>
  <c r="T31" i="56"/>
  <c r="T27" i="56"/>
  <c r="T63" i="56"/>
  <c r="T42" i="56"/>
  <c r="T36" i="56"/>
  <c r="T33" i="56"/>
  <c r="T60" i="56"/>
  <c r="V23" i="52"/>
  <c r="U25" i="52"/>
  <c r="U24" i="52"/>
  <c r="U27" i="52"/>
  <c r="U22" i="51"/>
  <c r="V19" i="51"/>
  <c r="V20" i="51"/>
  <c r="S43" i="56"/>
  <c r="S45" i="56" s="1"/>
  <c r="S76" i="56" s="1"/>
  <c r="W18" i="51"/>
  <c r="V22" i="51" l="1"/>
  <c r="U69" i="56"/>
  <c r="U71" i="56"/>
  <c r="U68" i="56"/>
  <c r="U65" i="56"/>
  <c r="U49" i="56"/>
  <c r="U38" i="56"/>
  <c r="U36" i="56"/>
  <c r="U53" i="56"/>
  <c r="U44" i="56"/>
  <c r="U41" i="56"/>
  <c r="U29" i="56"/>
  <c r="U62" i="56"/>
  <c r="U35" i="56"/>
  <c r="U42" i="56"/>
  <c r="U26" i="56"/>
  <c r="U59" i="56"/>
  <c r="U32" i="56"/>
  <c r="U22" i="56"/>
  <c r="U67" i="56"/>
  <c r="U55" i="56"/>
  <c r="U47" i="56"/>
  <c r="U75" i="56" s="1"/>
  <c r="U33" i="56"/>
  <c r="U64" i="56"/>
  <c r="U40" i="56"/>
  <c r="U37" i="56"/>
  <c r="U52" i="56"/>
  <c r="U28" i="56"/>
  <c r="U60" i="56"/>
  <c r="U61" i="56"/>
  <c r="U34" i="56"/>
  <c r="U57" i="56"/>
  <c r="U25" i="56"/>
  <c r="U21" i="56"/>
  <c r="U63" i="56"/>
  <c r="U66" i="56"/>
  <c r="U31" i="56"/>
  <c r="U54" i="56"/>
  <c r="U50" i="56"/>
  <c r="U39" i="56"/>
  <c r="U27" i="56"/>
  <c r="V19" i="56"/>
  <c r="U56" i="56"/>
  <c r="U24" i="56"/>
  <c r="T43" i="56"/>
  <c r="W23" i="52"/>
  <c r="V25" i="52"/>
  <c r="V27" i="52"/>
  <c r="V24" i="52"/>
  <c r="T70" i="56"/>
  <c r="T72" i="56" s="1"/>
  <c r="T77" i="56" s="1"/>
  <c r="W19" i="51"/>
  <c r="W20" i="51"/>
  <c r="S78" i="56"/>
  <c r="S79" i="56" s="1"/>
  <c r="T45" i="56" l="1"/>
  <c r="T76" i="56" s="1"/>
  <c r="T78" i="56" s="1"/>
  <c r="W25" i="52"/>
  <c r="W24" i="52"/>
  <c r="W27" i="52"/>
  <c r="U70" i="56"/>
  <c r="U72" i="56" s="1"/>
  <c r="U77" i="56" s="1"/>
  <c r="W22" i="51"/>
  <c r="V69" i="56"/>
  <c r="V71" i="56"/>
  <c r="V53" i="56"/>
  <c r="V44" i="56"/>
  <c r="V41" i="56"/>
  <c r="V29" i="56"/>
  <c r="V62" i="56"/>
  <c r="V35" i="56"/>
  <c r="V26" i="56"/>
  <c r="V27" i="56"/>
  <c r="V59" i="56"/>
  <c r="V32" i="56"/>
  <c r="V22" i="56"/>
  <c r="W19" i="56"/>
  <c r="V67" i="56"/>
  <c r="V55" i="56"/>
  <c r="V47" i="56"/>
  <c r="V75" i="56" s="1"/>
  <c r="V64" i="56"/>
  <c r="V40" i="56"/>
  <c r="V37" i="56"/>
  <c r="V52" i="56"/>
  <c r="V28" i="56"/>
  <c r="V61" i="56"/>
  <c r="V34" i="56"/>
  <c r="V57" i="56"/>
  <c r="V25" i="56"/>
  <c r="V21" i="56"/>
  <c r="V66" i="56"/>
  <c r="V31" i="56"/>
  <c r="V54" i="56"/>
  <c r="V50" i="56"/>
  <c r="V39" i="56"/>
  <c r="V63" i="56"/>
  <c r="V42" i="56"/>
  <c r="V36" i="56"/>
  <c r="V60" i="56"/>
  <c r="V33" i="56"/>
  <c r="V56" i="56"/>
  <c r="V24" i="56"/>
  <c r="V49" i="56"/>
  <c r="V38" i="56"/>
  <c r="V68" i="56"/>
  <c r="V65" i="56"/>
  <c r="U43" i="56"/>
  <c r="T79" i="56" l="1"/>
  <c r="U45" i="56"/>
  <c r="U76" i="56" s="1"/>
  <c r="U78" i="56" s="1"/>
  <c r="U79" i="56" s="1"/>
  <c r="W69" i="56"/>
  <c r="W71" i="56"/>
  <c r="W62" i="56"/>
  <c r="Y62" i="56" s="1"/>
  <c r="W35" i="56"/>
  <c r="W26" i="56"/>
  <c r="Y26" i="56" s="1"/>
  <c r="W49" i="56"/>
  <c r="W59" i="56"/>
  <c r="W32" i="56"/>
  <c r="Y32" i="56" s="1"/>
  <c r="W22" i="56"/>
  <c r="W67" i="56"/>
  <c r="W55" i="56"/>
  <c r="Y55" i="56" s="1"/>
  <c r="W47" i="56"/>
  <c r="W75" i="56" s="1"/>
  <c r="W64" i="56"/>
  <c r="W40" i="56"/>
  <c r="W37" i="56"/>
  <c r="W52" i="56"/>
  <c r="Y52" i="56" s="1"/>
  <c r="W28" i="56"/>
  <c r="Y28" i="56" s="1"/>
  <c r="W38" i="56"/>
  <c r="W61" i="56"/>
  <c r="W34" i="56"/>
  <c r="Y34" i="56" s="1"/>
  <c r="W60" i="56"/>
  <c r="Y60" i="56" s="1"/>
  <c r="W57" i="56"/>
  <c r="Y57" i="56" s="1"/>
  <c r="W25" i="56"/>
  <c r="Y25" i="56" s="1"/>
  <c r="W21" i="56"/>
  <c r="W33" i="56"/>
  <c r="W65" i="56"/>
  <c r="W66" i="56"/>
  <c r="W31" i="56"/>
  <c r="W54" i="56"/>
  <c r="Y54" i="56" s="1"/>
  <c r="W50" i="56"/>
  <c r="W39" i="56"/>
  <c r="W63" i="56"/>
  <c r="W42" i="56"/>
  <c r="W36" i="56"/>
  <c r="W68" i="56"/>
  <c r="W27" i="56"/>
  <c r="Y27" i="56" s="1"/>
  <c r="W56" i="56"/>
  <c r="Y56" i="56" s="1"/>
  <c r="W24" i="56"/>
  <c r="Y24" i="56" s="1"/>
  <c r="W53" i="56"/>
  <c r="Y53" i="56" s="1"/>
  <c r="W44" i="56"/>
  <c r="W41" i="56"/>
  <c r="W29" i="56"/>
  <c r="Y29" i="56" s="1"/>
  <c r="V43" i="56"/>
  <c r="V45" i="56" s="1"/>
  <c r="V76" i="56" s="1"/>
  <c r="V70" i="56"/>
  <c r="V72" i="56" s="1"/>
  <c r="V77" i="56" s="1"/>
  <c r="Y70" i="56" l="1"/>
  <c r="Y43" i="56"/>
  <c r="V78" i="56"/>
  <c r="C15" i="43"/>
  <c r="C17" i="43"/>
  <c r="C18" i="43"/>
  <c r="W43" i="56"/>
  <c r="C19" i="43"/>
  <c r="W70" i="56"/>
  <c r="W72" i="56" s="1"/>
  <c r="W77" i="56" s="1"/>
  <c r="C16" i="43"/>
  <c r="V79" i="56" l="1"/>
  <c r="Y44" i="56"/>
  <c r="Y45" i="56" s="1"/>
  <c r="D74" i="56"/>
  <c r="Y71" i="56"/>
  <c r="Y72" i="56" s="1"/>
  <c r="C20" i="43"/>
  <c r="W45" i="56"/>
  <c r="W76" i="56" s="1"/>
  <c r="W78" i="56" s="1"/>
  <c r="W79" i="56" l="1"/>
  <c r="C11" i="51"/>
  <c r="C12" i="49"/>
  <c r="F25" i="43" s="1"/>
  <c r="C12" i="47"/>
  <c r="C14" i="47" s="1"/>
  <c r="N22" i="49"/>
  <c r="O22" i="49"/>
  <c r="P22" i="49"/>
  <c r="Q22" i="49"/>
  <c r="R22" i="49"/>
  <c r="C10" i="48"/>
  <c r="C6" i="48" s="1"/>
  <c r="C17" i="52"/>
  <c r="F17" i="52" s="1"/>
  <c r="C12" i="50"/>
  <c r="C6" i="45"/>
  <c r="C7" i="45"/>
  <c r="C17" i="53"/>
  <c r="C10" i="45"/>
  <c r="C9" i="47"/>
  <c r="C8" i="47"/>
  <c r="C7" i="49"/>
  <c r="C7" i="47"/>
  <c r="F25" i="52"/>
  <c r="C6" i="49"/>
  <c r="F22" i="49"/>
  <c r="D22" i="49"/>
  <c r="F25" i="53"/>
  <c r="E22" i="49" l="1"/>
  <c r="C16" i="49"/>
  <c r="H22" i="49"/>
  <c r="C8" i="49"/>
  <c r="C9" i="49" s="1"/>
  <c r="I22" i="49"/>
  <c r="K22" i="49"/>
  <c r="L22" i="49"/>
  <c r="J22" i="49"/>
  <c r="M22" i="49"/>
  <c r="F13" i="49"/>
  <c r="G22" i="49"/>
  <c r="D19" i="48"/>
  <c r="F19" i="48"/>
  <c r="C5" i="48"/>
  <c r="C7" i="48" s="1"/>
  <c r="C11" i="52"/>
  <c r="C15" i="50"/>
  <c r="D20" i="50" s="1"/>
  <c r="G25" i="43"/>
  <c r="D24" i="52"/>
  <c r="D28" i="52" s="1"/>
  <c r="I25" i="43"/>
  <c r="J19" i="48"/>
  <c r="E25" i="43"/>
  <c r="I20" i="51"/>
  <c r="H25" i="43"/>
  <c r="D25" i="43"/>
  <c r="C25" i="43"/>
  <c r="E19" i="48"/>
  <c r="L24" i="53"/>
  <c r="L28" i="53" s="1"/>
  <c r="J25" i="43"/>
  <c r="E21" i="50"/>
  <c r="C13" i="48"/>
  <c r="L18" i="48" s="1"/>
  <c r="F24" i="52"/>
  <c r="C12" i="52"/>
  <c r="I21" i="50"/>
  <c r="K19" i="48"/>
  <c r="H19" i="48"/>
  <c r="M24" i="52"/>
  <c r="M25" i="52"/>
  <c r="F21" i="50"/>
  <c r="D21" i="50"/>
  <c r="C7" i="50"/>
  <c r="C8" i="50"/>
  <c r="L24" i="52"/>
  <c r="J21" i="50"/>
  <c r="K24" i="52"/>
  <c r="K21" i="50"/>
  <c r="J24" i="52"/>
  <c r="I24" i="52"/>
  <c r="G19" i="48"/>
  <c r="H24" i="52"/>
  <c r="H28" i="52" s="1"/>
  <c r="G24" i="52"/>
  <c r="G28" i="52" s="1"/>
  <c r="F12" i="49"/>
  <c r="F26" i="43" s="1"/>
  <c r="D21" i="49"/>
  <c r="O21" i="49"/>
  <c r="O24" i="49" s="1"/>
  <c r="N21" i="49"/>
  <c r="N24" i="49" s="1"/>
  <c r="P21" i="49"/>
  <c r="P24" i="49" s="1"/>
  <c r="Q21" i="49"/>
  <c r="Q24" i="49" s="1"/>
  <c r="R21" i="49"/>
  <c r="R24" i="49" s="1"/>
  <c r="N18" i="48"/>
  <c r="N21" i="48" s="1"/>
  <c r="O18" i="48"/>
  <c r="O21" i="48" s="1"/>
  <c r="P18" i="48"/>
  <c r="P21" i="48" s="1"/>
  <c r="Q18" i="48"/>
  <c r="Q21" i="48" s="1"/>
  <c r="R18" i="48"/>
  <c r="R21" i="48" s="1"/>
  <c r="L21" i="50"/>
  <c r="F16" i="52"/>
  <c r="M21" i="50"/>
  <c r="E24" i="52"/>
  <c r="E28" i="52" s="1"/>
  <c r="G21" i="50"/>
  <c r="C7" i="52"/>
  <c r="F11" i="48"/>
  <c r="H21" i="50"/>
  <c r="F24" i="53"/>
  <c r="F28" i="53" s="1"/>
  <c r="M19" i="48"/>
  <c r="D24" i="53"/>
  <c r="D28" i="53" s="1"/>
  <c r="L19" i="48"/>
  <c r="F16" i="53"/>
  <c r="C10" i="47"/>
  <c r="C6" i="52"/>
  <c r="F13" i="50"/>
  <c r="I19" i="48"/>
  <c r="C7" i="53"/>
  <c r="C11" i="53"/>
  <c r="F17" i="53"/>
  <c r="E24" i="53"/>
  <c r="E28" i="53" s="1"/>
  <c r="C6" i="53"/>
  <c r="C12" i="53"/>
  <c r="M25" i="53"/>
  <c r="M24" i="53"/>
  <c r="J24" i="53"/>
  <c r="J28" i="53" s="1"/>
  <c r="I24" i="53"/>
  <c r="I28" i="53" s="1"/>
  <c r="K24" i="53"/>
  <c r="K28" i="53" s="1"/>
  <c r="G24" i="53"/>
  <c r="G28" i="53" s="1"/>
  <c r="H24" i="53"/>
  <c r="H28" i="53" s="1"/>
  <c r="C14" i="51"/>
  <c r="G19" i="51" s="1"/>
  <c r="C6" i="51"/>
  <c r="G20" i="51"/>
  <c r="C5" i="51"/>
  <c r="H20" i="51"/>
  <c r="E20" i="51"/>
  <c r="F20" i="51"/>
  <c r="D20" i="51"/>
  <c r="C8" i="45"/>
  <c r="F11" i="51"/>
  <c r="M20" i="51"/>
  <c r="L20" i="51"/>
  <c r="K20" i="51"/>
  <c r="J20" i="51"/>
  <c r="F28" i="52"/>
  <c r="L21" i="49"/>
  <c r="J21" i="49"/>
  <c r="K21" i="49"/>
  <c r="M21" i="49"/>
  <c r="I21" i="49"/>
  <c r="I24" i="49" s="1"/>
  <c r="H21" i="49"/>
  <c r="H24" i="49" s="1"/>
  <c r="G21" i="49"/>
  <c r="E21" i="49"/>
  <c r="E24" i="49" s="1"/>
  <c r="F21" i="49"/>
  <c r="F24" i="49" s="1"/>
  <c r="J24" i="49" l="1"/>
  <c r="L24" i="49"/>
  <c r="K24" i="49"/>
  <c r="M24" i="49"/>
  <c r="G24" i="49"/>
  <c r="C13" i="52"/>
  <c r="I27" i="52" s="1"/>
  <c r="L20" i="50"/>
  <c r="E20" i="50"/>
  <c r="E23" i="50" s="1"/>
  <c r="F12" i="50"/>
  <c r="G26" i="43" s="1"/>
  <c r="K20" i="50"/>
  <c r="K23" i="50" s="1"/>
  <c r="J20" i="50"/>
  <c r="J23" i="50" s="1"/>
  <c r="I20" i="50"/>
  <c r="I23" i="50" s="1"/>
  <c r="M20" i="50"/>
  <c r="M23" i="50" s="1"/>
  <c r="H20" i="50"/>
  <c r="H23" i="50" s="1"/>
  <c r="F20" i="50"/>
  <c r="F23" i="50" s="1"/>
  <c r="G20" i="50"/>
  <c r="G23" i="50" s="1"/>
  <c r="I18" i="48"/>
  <c r="I21" i="48" s="1"/>
  <c r="K18" i="48"/>
  <c r="K21" i="48" s="1"/>
  <c r="H18" i="48"/>
  <c r="H21" i="48" s="1"/>
  <c r="F18" i="48"/>
  <c r="F21" i="48" s="1"/>
  <c r="D18" i="48"/>
  <c r="E18" i="48"/>
  <c r="E21" i="48" s="1"/>
  <c r="G18" i="48"/>
  <c r="G21" i="48" s="1"/>
  <c r="F10" i="48"/>
  <c r="E26" i="43" s="1"/>
  <c r="M18" i="48"/>
  <c r="M21" i="48" s="1"/>
  <c r="J18" i="48"/>
  <c r="J21" i="48" s="1"/>
  <c r="J26" i="43"/>
  <c r="C27" i="43"/>
  <c r="C29" i="43" s="1"/>
  <c r="E27" i="43"/>
  <c r="F27" i="43"/>
  <c r="F29" i="43" s="1"/>
  <c r="D27" i="43"/>
  <c r="D29" i="43" s="1"/>
  <c r="F18" i="52"/>
  <c r="I26" i="43"/>
  <c r="I28" i="43"/>
  <c r="D23" i="49"/>
  <c r="D24" i="49" s="1"/>
  <c r="L23" i="50"/>
  <c r="C9" i="50"/>
  <c r="D20" i="48"/>
  <c r="C8" i="52"/>
  <c r="L21" i="48"/>
  <c r="F18" i="53"/>
  <c r="M28" i="53"/>
  <c r="C8" i="53"/>
  <c r="C13" i="53"/>
  <c r="F10" i="51"/>
  <c r="C7" i="51"/>
  <c r="D19" i="51"/>
  <c r="E19" i="51"/>
  <c r="E22" i="51" s="1"/>
  <c r="F19" i="51"/>
  <c r="F22" i="51" s="1"/>
  <c r="G22" i="51"/>
  <c r="M19" i="51"/>
  <c r="M22" i="51" s="1"/>
  <c r="L19" i="51"/>
  <c r="L22" i="51" s="1"/>
  <c r="K19" i="51"/>
  <c r="K22" i="51" s="1"/>
  <c r="J19" i="51"/>
  <c r="J22" i="51" s="1"/>
  <c r="I19" i="51"/>
  <c r="I22" i="51" s="1"/>
  <c r="H19" i="51"/>
  <c r="H22" i="51" s="1"/>
  <c r="D27" i="52"/>
  <c r="E27" i="52"/>
  <c r="F27" i="52"/>
  <c r="F14" i="49"/>
  <c r="F15" i="49" s="1"/>
  <c r="M27" i="52" l="1"/>
  <c r="L27" i="52"/>
  <c r="H27" i="52"/>
  <c r="G27" i="52"/>
  <c r="J27" i="52"/>
  <c r="K27" i="52"/>
  <c r="F14" i="50"/>
  <c r="F15" i="50" s="1"/>
  <c r="D21" i="48"/>
  <c r="F12" i="48"/>
  <c r="F13" i="48" s="1"/>
  <c r="E29" i="43"/>
  <c r="H27" i="43"/>
  <c r="M27" i="53"/>
  <c r="J28" i="43"/>
  <c r="D22" i="50"/>
  <c r="D23" i="50" s="1"/>
  <c r="G27" i="43"/>
  <c r="G29" i="43" s="1"/>
  <c r="F12" i="51"/>
  <c r="F13" i="51" s="1"/>
  <c r="H26" i="43"/>
  <c r="I27" i="43"/>
  <c r="I29" i="43" s="1"/>
  <c r="J27" i="43"/>
  <c r="D21" i="51"/>
  <c r="D22" i="51" s="1"/>
  <c r="D26" i="52"/>
  <c r="D26" i="53"/>
  <c r="H27" i="53"/>
  <c r="I27" i="53"/>
  <c r="D27" i="53"/>
  <c r="F27" i="53"/>
  <c r="G27" i="53"/>
  <c r="L27" i="53"/>
  <c r="J27" i="53"/>
  <c r="K27" i="53"/>
  <c r="E27" i="53"/>
  <c r="J29" i="43" l="1"/>
  <c r="H29" i="43"/>
</calcChain>
</file>

<file path=xl/sharedStrings.xml><?xml version="1.0" encoding="utf-8"?>
<sst xmlns="http://schemas.openxmlformats.org/spreadsheetml/2006/main" count="290" uniqueCount="147">
  <si>
    <t xml:space="preserve">1. Capital expenditures </t>
  </si>
  <si>
    <r>
      <rPr>
        <sz val="12"/>
        <color theme="8" tint="-0.499984740745262"/>
        <rFont val="Aptos"/>
        <family val="2"/>
      </rPr>
      <t xml:space="preserve">▪ </t>
    </r>
    <r>
      <rPr>
        <b/>
        <sz val="12"/>
        <color theme="8" tint="-0.499984740745262"/>
        <rFont val="Aptos"/>
        <family val="2"/>
      </rPr>
      <t xml:space="preserve">Capital expenditures (CAPEX) </t>
    </r>
    <r>
      <rPr>
        <sz val="12"/>
        <color theme="8" tint="-0.499984740745262"/>
        <rFont val="Aptos"/>
        <family val="2"/>
      </rPr>
      <t xml:space="preserve">are costs that occur when purchasing, improving or maintaining physical assets of an investment project. These costs should be stated in the spreadsheet under the appropriate cost category. </t>
    </r>
    <r>
      <rPr>
        <b/>
        <sz val="12"/>
        <color theme="8" tint="-0.499984740745262"/>
        <rFont val="Aptos"/>
        <family val="2"/>
      </rPr>
      <t xml:space="preserve">Eligible capital </t>
    </r>
    <r>
      <rPr>
        <sz val="12"/>
        <color theme="8" tint="-0.499984740745262"/>
        <rFont val="Aptos"/>
        <family val="2"/>
      </rPr>
      <t>e</t>
    </r>
    <r>
      <rPr>
        <b/>
        <sz val="12"/>
        <color theme="8" tint="-0.499984740745262"/>
        <rFont val="Aptos"/>
        <family val="2"/>
      </rPr>
      <t>xpenditure</t>
    </r>
    <r>
      <rPr>
        <sz val="12"/>
        <color theme="8" tint="-0.499984740745262"/>
        <rFont val="Aptos"/>
        <family val="2"/>
      </rPr>
      <t xml:space="preserve"> refers to investments in tangible or intangible assets that are necessary for the project's implementation and comply with the grant's funding rules. </t>
    </r>
    <r>
      <rPr>
        <b/>
        <sz val="12"/>
        <color theme="8" tint="-0.499984740745262"/>
        <rFont val="Aptos"/>
        <family val="2"/>
      </rPr>
      <t>Non-eligible capital expenditure</t>
    </r>
    <r>
      <rPr>
        <sz val="12"/>
        <color theme="8" tint="-0.499984740745262"/>
        <rFont val="Aptos"/>
        <family val="2"/>
      </rPr>
      <t xml:space="preserve"> includes costs that do not meet the grant’s criteria.</t>
    </r>
  </si>
  <si>
    <t>2. Sources of financing</t>
  </si>
  <si>
    <r>
      <rPr>
        <b/>
        <sz val="12"/>
        <color theme="8" tint="-0.499984740745262"/>
        <rFont val="Aptos"/>
        <family val="2"/>
      </rPr>
      <t>Own funds means</t>
    </r>
    <r>
      <rPr>
        <sz val="12"/>
        <color theme="8" tint="-0.499984740745262"/>
        <rFont val="Aptos"/>
        <family val="2"/>
        <charset val="238"/>
      </rPr>
      <t xml:space="preserve"> financing an investment entirely from a company's internal resources, such as retained earnings, accumulated reserves, or shareholder contributions. This approach avoids financial liabilities and interest costs but may limit the available capital for expansion or diversification.</t>
    </r>
  </si>
  <si>
    <r>
      <rPr>
        <b/>
        <sz val="12"/>
        <color theme="8" tint="-0.499984740745262"/>
        <rFont val="Aptos"/>
        <family val="2"/>
      </rPr>
      <t>Own funds + Grant</t>
    </r>
    <r>
      <rPr>
        <sz val="12"/>
        <color theme="8" tint="-0.499984740745262"/>
        <rFont val="Aptos"/>
        <family val="2"/>
        <charset val="238"/>
      </rPr>
      <t xml:space="preserve"> is option that combines a company’s internal financial resources with a non-repayable grant from a government, EU program, or other funding body. The grant reduces the financial burden and improves investment feasibility, allowing businesses to undertake larger or riskier projects while preserving some of their own capital.</t>
    </r>
  </si>
  <si>
    <r>
      <rPr>
        <b/>
        <sz val="12"/>
        <color theme="8" tint="-0.499984740745262"/>
        <rFont val="Aptos"/>
        <family val="2"/>
      </rPr>
      <t>Standard Loan</t>
    </r>
    <r>
      <rPr>
        <sz val="12"/>
        <color theme="8" tint="-0.499984740745262"/>
        <rFont val="Aptos"/>
        <family val="2"/>
        <charset val="238"/>
      </rPr>
      <t xml:space="preserve"> is a traditional bank loan where a company borrows funds and repays them with interest over a predetermined period. This financing method allows businesses to spread investment costs over time but increases financial liabilities and requires sufficient creditworthiness to secure favorable terms.</t>
    </r>
  </si>
  <si>
    <r>
      <rPr>
        <b/>
        <sz val="12"/>
        <color theme="8" tint="-0.499984740745262"/>
        <rFont val="Aptos"/>
        <family val="2"/>
      </rPr>
      <t>Loan + Grant</t>
    </r>
    <r>
      <rPr>
        <sz val="12"/>
        <color theme="8" tint="-0.499984740745262"/>
        <rFont val="Aptos"/>
        <family val="2"/>
        <charset val="238"/>
      </rPr>
      <t xml:space="preserve">  is a combination of debt financing and a non-repayable grant, reducing the amount that needs to be borrowed and lowering overall financing costs. This structure makes projects more financially viable by decreasing the repayment burden while still allowing access to additional capital.</t>
    </r>
  </si>
  <si>
    <r>
      <rPr>
        <b/>
        <sz val="12"/>
        <color theme="8" tint="-0.499984740745262"/>
        <rFont val="Aptos"/>
        <family val="2"/>
      </rPr>
      <t>Green Loan</t>
    </r>
    <r>
      <rPr>
        <sz val="12"/>
        <color theme="8" tint="-0.499984740745262"/>
        <rFont val="Aptos"/>
        <family val="2"/>
      </rPr>
      <t xml:space="preserve"> is loan specifically designed to finance projects with environmental benefits, such as renewable energy, energy efficiency, or sustainability-focused initiatives. These loans often come with more favorable terms, such as lower interest rates or longer repayment periods, to incentivize environmentally responsible investments.</t>
    </r>
  </si>
  <si>
    <r>
      <rPr>
        <b/>
        <sz val="12"/>
        <color theme="8" tint="-0.499984740745262"/>
        <rFont val="Aptos"/>
        <family val="2"/>
      </rPr>
      <t>Capital Rebate Loan</t>
    </r>
    <r>
      <rPr>
        <sz val="12"/>
        <color theme="8" tint="-0.499984740745262"/>
        <rFont val="Aptos"/>
        <family val="2"/>
        <charset val="238"/>
      </rPr>
      <t xml:space="preserve"> is a financial instrument supported by the European Structural and Investment Funds (ESIF), where up to 50% of the loan principal is non-repayable. This significantly reduces borrowing costs and makes it an attractive option for projects aligned with EU priorities, such as innovation, infrastructure, or sustainability.</t>
    </r>
  </si>
  <si>
    <r>
      <rPr>
        <b/>
        <sz val="12"/>
        <color theme="8" tint="-0.499984740745262"/>
        <rFont val="Aptos"/>
        <family val="2"/>
      </rPr>
      <t>Standard Bonds</t>
    </r>
    <r>
      <rPr>
        <sz val="12"/>
        <color theme="8" tint="-0.499984740745262"/>
        <rFont val="Aptos"/>
        <family val="2"/>
        <charset val="238"/>
      </rPr>
      <t xml:space="preserve"> are fixed-income securities issued by companies or governments to raise capital from institutional investors, such as pension funds, insurance companies, or investment firms. These bonds provide a predictable return for investors while offering long-term financing for large-scale projects without immediate repayment obligations like loans.</t>
    </r>
  </si>
  <si>
    <r>
      <rPr>
        <b/>
        <sz val="12"/>
        <color theme="8" tint="-0.499984740745262"/>
        <rFont val="Aptos"/>
        <family val="2"/>
      </rPr>
      <t>Green Bonds</t>
    </r>
    <r>
      <rPr>
        <sz val="12"/>
        <color theme="8" tint="-0.499984740745262"/>
        <rFont val="Aptos"/>
        <family val="2"/>
        <charset val="238"/>
      </rPr>
      <t xml:space="preserve"> are issued to fund environmentally or socially responsible projects, often with incentives linked to achieving sustainability targets. They attract institutional investors focused on ESG (Environmental, Social, and Governance) criteria, potentially offering better financing terms and enhancing a company’s reputation in sustainable finance markets.</t>
    </r>
  </si>
  <si>
    <t>1. Identification of the project</t>
  </si>
  <si>
    <t>Name of the project beneficiary</t>
  </si>
  <si>
    <t>Name of the investment project</t>
  </si>
  <si>
    <t>2. Summary of results</t>
  </si>
  <si>
    <t>CAPEX</t>
  </si>
  <si>
    <t>Estimated cost of planning processes</t>
  </si>
  <si>
    <t>Estimated cost of installation</t>
  </si>
  <si>
    <t>Estimated equipment cost</t>
  </si>
  <si>
    <t>Other(s)</t>
  </si>
  <si>
    <t>Non-refundable VAT</t>
  </si>
  <si>
    <t>TOTAL (EUR)</t>
  </si>
  <si>
    <t>3. Comparator of different financial options</t>
  </si>
  <si>
    <t>Breakdown of costs/Source of financing</t>
  </si>
  <si>
    <t>Own funds</t>
  </si>
  <si>
    <t>Own funds + grant</t>
  </si>
  <si>
    <t>Standard loan</t>
  </si>
  <si>
    <t>Standard loan + grant</t>
  </si>
  <si>
    <t>Green loan</t>
  </si>
  <si>
    <t>Capital rebate loan</t>
  </si>
  <si>
    <t>BONDS (Standard II)</t>
  </si>
  <si>
    <t>BONDS (EuGBS - SLB)</t>
  </si>
  <si>
    <t>CAPEX/Principal (EUR)</t>
  </si>
  <si>
    <t>Interests (EUR)</t>
  </si>
  <si>
    <t>Preparation costs (EUR)</t>
  </si>
  <si>
    <t>Other financial costs (EUR)</t>
  </si>
  <si>
    <t>Total costs (EUR)</t>
  </si>
  <si>
    <t>Yes</t>
  </si>
  <si>
    <t>No</t>
  </si>
  <si>
    <t>Generic input parameters</t>
  </si>
  <si>
    <t>Unit</t>
  </si>
  <si>
    <t>Value</t>
  </si>
  <si>
    <t>Currency used in the model</t>
  </si>
  <si>
    <t>#</t>
  </si>
  <si>
    <t>EUR</t>
  </si>
  <si>
    <t>Note:  Currency code must be inserted here</t>
  </si>
  <si>
    <t>First year of infrastructure roll-out</t>
  </si>
  <si>
    <t>Number of roll-out years</t>
  </si>
  <si>
    <t>Year</t>
  </si>
  <si>
    <t>Co-financing rate of the eligible costs</t>
  </si>
  <si>
    <t>%</t>
  </si>
  <si>
    <t>Reference period</t>
  </si>
  <si>
    <t xml:space="preserve">Is VAT refundable for the investor? </t>
  </si>
  <si>
    <t>Cashflow projections</t>
  </si>
  <si>
    <t>ELIGIBLE capital expenditure</t>
  </si>
  <si>
    <t>Economic lifetime</t>
  </si>
  <si>
    <t>Residual Value</t>
  </si>
  <si>
    <t>1. Planning/design fees</t>
  </si>
  <si>
    <t>2. Land purchase</t>
  </si>
  <si>
    <t>3. Building and construction</t>
  </si>
  <si>
    <t>a. Construction elements</t>
  </si>
  <si>
    <t>b. Insulation and facade</t>
  </si>
  <si>
    <t>c. Windows</t>
  </si>
  <si>
    <t>d. Seismic retrofit reinforcements</t>
  </si>
  <si>
    <t>e. Green infrastructure (NBS)</t>
  </si>
  <si>
    <t>f. Other</t>
  </si>
  <si>
    <t>4. Plant and machinery</t>
  </si>
  <si>
    <t>a. Heating, ventilation, and air conditioning</t>
  </si>
  <si>
    <t>b. Solar power plant</t>
  </si>
  <si>
    <t>c. Battery energy storage system</t>
  </si>
  <si>
    <t>d. eCharging equipment</t>
  </si>
  <si>
    <t>e. IT equipment and sensors</t>
  </si>
  <si>
    <t>f. Other electric equipment</t>
  </si>
  <si>
    <t>g. Indoor lighting</t>
  </si>
  <si>
    <t>5. Contingencies</t>
  </si>
  <si>
    <t>6. Price adjustment</t>
  </si>
  <si>
    <t>7. Publicity</t>
  </si>
  <si>
    <t>8. Supervision during contrusction implementation</t>
  </si>
  <si>
    <t>9. Technical assistance</t>
  </si>
  <si>
    <t>10. Sub-TOTAL</t>
  </si>
  <si>
    <t>11. VAT</t>
  </si>
  <si>
    <t>12. TOTAL</t>
  </si>
  <si>
    <t>INELIGIBLE capital expenditure</t>
  </si>
  <si>
    <t>6. Publicity</t>
  </si>
  <si>
    <t>7. Supervision during project implementation</t>
  </si>
  <si>
    <t>8. Technical assistance</t>
  </si>
  <si>
    <t>VAT %</t>
  </si>
  <si>
    <t>Total capital expenditure</t>
  </si>
  <si>
    <t>Total capital expenditure minus contingencies</t>
  </si>
  <si>
    <t>Preparation costs</t>
  </si>
  <si>
    <t>Investment plan with socioeconomic asessment</t>
  </si>
  <si>
    <t>Other costs</t>
  </si>
  <si>
    <t xml:space="preserve">Total </t>
  </si>
  <si>
    <t>Project management and reporting</t>
  </si>
  <si>
    <t>Total</t>
  </si>
  <si>
    <t>Co-financing rate of eligible project costs</t>
  </si>
  <si>
    <t>OWN FUNDS</t>
  </si>
  <si>
    <t xml:space="preserve">Investment plan </t>
  </si>
  <si>
    <t>Financing conditions</t>
  </si>
  <si>
    <t>Loan Amount</t>
  </si>
  <si>
    <t>Total Interest</t>
  </si>
  <si>
    <t>Rate (Annual)</t>
  </si>
  <si>
    <t>Total Principal</t>
  </si>
  <si>
    <t>Term (Years)</t>
  </si>
  <si>
    <t>Total Payments</t>
  </si>
  <si>
    <t>Payment</t>
  </si>
  <si>
    <t>Check</t>
  </si>
  <si>
    <t>Loan repayment plan</t>
  </si>
  <si>
    <t>Interest payments</t>
  </si>
  <si>
    <t>Principal repayments</t>
  </si>
  <si>
    <t>Total (EUR)</t>
  </si>
  <si>
    <t>Financing conditions - after rebate</t>
  </si>
  <si>
    <t>Co-financing rate</t>
  </si>
  <si>
    <t>Pre-issuance costs (investment advisory, credit and risk rating and legal fees)</t>
  </si>
  <si>
    <t>Issuance costs (underwriting and placement fees, exchange listing, regulatory and depository-settlement fees)</t>
  </si>
  <si>
    <t>Post-Issuance and ongoing compliance costs</t>
  </si>
  <si>
    <t xml:space="preserve">Annual stock exchange and depository </t>
  </si>
  <si>
    <t>External reviews and audits (Post-Issuance)</t>
  </si>
  <si>
    <t>Bond emission</t>
  </si>
  <si>
    <t>Interest rate/coupon (Annual)</t>
  </si>
  <si>
    <t>Rate (Semiannual)</t>
  </si>
  <si>
    <t>Repayment Plan</t>
  </si>
  <si>
    <t>Pre-issuance costs (investment advisory and legal fees, credit and risk rating, external review and certification)</t>
  </si>
  <si>
    <t>External allocation reviews and audits (Post-Issuance)</t>
  </si>
  <si>
    <t>Pokazatelj</t>
  </si>
  <si>
    <t>Standardno</t>
  </si>
  <si>
    <t>Povećanje investicijskih troškova (20%)</t>
  </si>
  <si>
    <t>Smanjenje investicijskih troškova (20%)</t>
  </si>
  <si>
    <t>FISR (%)</t>
  </si>
  <si>
    <t>NSV (HRK)</t>
  </si>
  <si>
    <t>FDVP (god)</t>
  </si>
  <si>
    <t>50&gt;</t>
  </si>
  <si>
    <t>Povećanje cijena energije (20%)</t>
  </si>
  <si>
    <t>Smanjenje cijena energije (20%)</t>
  </si>
  <si>
    <t>FNSV (HRK)</t>
  </si>
  <si>
    <t>Maksimalan iznos kredita (kn)</t>
  </si>
  <si>
    <t>Iznos kredita (kn)</t>
  </si>
  <si>
    <t>Postotak investicije financiran kreditom (%)</t>
  </si>
  <si>
    <t>Polazna kamatna stopa (%)</t>
  </si>
  <si>
    <t>Kamatni faktor (r)</t>
  </si>
  <si>
    <t>Anuitetni faktor (a)</t>
  </si>
  <si>
    <t>Razdoblje (g)</t>
  </si>
  <si>
    <t>Fiksni anuitet (Af)</t>
  </si>
  <si>
    <t>Anuitet (kn)</t>
  </si>
  <si>
    <t>Kamata (kn)</t>
  </si>
  <si>
    <t>Otplatni dio (kn)</t>
  </si>
  <si>
    <t>Ostatak duga (kn)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</si>
</sst>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0.0%"/>
    <numFmt numFmtId="165" formatCode="#,##0.00\ &quot;€&quot;"/>
    <numFmt numFmtId="166" formatCode="_(#,##0.00%_);\(#,##0.00%\);_(&quot;–&quot;_);_(@_)"/>
    <numFmt numFmtId="167" formatCode="_(#,##0_);\(#,##0\);_(&quot;–&quot;_);_(@_)"/>
    <numFmt numFmtId="168" formatCode="#,##0.00%;[Red]\-#,##0.00%;0.00%;@_)"/>
    <numFmt numFmtId="169" formatCode="#,##0.0%;[Red]\-#,##0.0%;0.0%;@_)"/>
    <numFmt numFmtId="170" formatCode="#,##0_);[Red]\-#,##0_);0_);@_)"/>
    <numFmt numFmtId="171" formatCode="#,##0%;[Red]\-#,##0%;0%;@_)"/>
    <numFmt numFmtId="172" formatCode="#,##0.000_);[Red]\-#,##0.000_);0.000_);@_)"/>
  </numFmts>
  <fonts count="50" x14ac:knownFonts="1">
    <font>
      <sz val="10"/>
      <name val="Arial"/>
      <charset val="238"/>
    </font>
    <font>
      <sz val="11"/>
      <color theme="1"/>
      <name val="Calibri"/>
      <family val="2"/>
      <charset val="238"/>
      <scheme val="minor"/>
    </font>
    <font>
      <sz val="10"/>
      <name val="Arial"/>
      <family val="2"/>
      <charset val="238"/>
    </font>
    <font>
      <sz val="10"/>
      <name val="Trebuchet MS"/>
      <family val="2"/>
    </font>
    <font>
      <b/>
      <sz val="10"/>
      <name val="Trebuchet MS"/>
      <family val="2"/>
    </font>
    <font>
      <sz val="8"/>
      <name val="Trebuchet MS"/>
      <family val="2"/>
    </font>
    <font>
      <sz val="11"/>
      <color theme="1"/>
      <name val="Calibri"/>
      <family val="2"/>
      <scheme val="minor"/>
    </font>
    <font>
      <sz val="8"/>
      <name val="Arial"/>
      <family val="2"/>
    </font>
    <font>
      <b/>
      <sz val="10"/>
      <color theme="0"/>
      <name val="Arial"/>
      <family val="2"/>
    </font>
    <font>
      <sz val="10"/>
      <name val="Arial"/>
      <family val="2"/>
    </font>
    <font>
      <sz val="11"/>
      <color rgb="FF006100"/>
      <name val="Calibri"/>
      <family val="2"/>
      <charset val="238"/>
      <scheme val="minor"/>
    </font>
    <font>
      <b/>
      <sz val="11"/>
      <color rgb="FFFA7D00"/>
      <name val="Calibri"/>
      <family val="2"/>
      <charset val="238"/>
      <scheme val="minor"/>
    </font>
    <font>
      <b/>
      <sz val="11"/>
      <color theme="1"/>
      <name val="Aptos"/>
      <family val="2"/>
    </font>
    <font>
      <sz val="11"/>
      <color theme="1"/>
      <name val="Aptos"/>
      <family val="2"/>
    </font>
    <font>
      <b/>
      <sz val="11"/>
      <color theme="0"/>
      <name val="Aptos"/>
      <family val="2"/>
    </font>
    <font>
      <b/>
      <sz val="11"/>
      <name val="Aptos"/>
      <family val="2"/>
    </font>
    <font>
      <i/>
      <sz val="11"/>
      <color theme="1"/>
      <name val="Aptos"/>
      <family val="2"/>
    </font>
    <font>
      <b/>
      <sz val="11"/>
      <color rgb="FFFA7D00"/>
      <name val="Aptos"/>
      <family val="2"/>
    </font>
    <font>
      <sz val="11"/>
      <color theme="0"/>
      <name val="Aptos"/>
      <family val="2"/>
    </font>
    <font>
      <b/>
      <sz val="11"/>
      <color theme="0"/>
      <name val="Aptos"/>
      <family val="2"/>
      <charset val="238"/>
    </font>
    <font>
      <b/>
      <sz val="10"/>
      <color theme="0"/>
      <name val="Arial"/>
      <family val="2"/>
      <charset val="238"/>
    </font>
    <font>
      <sz val="11"/>
      <name val="Aptos"/>
      <family val="2"/>
    </font>
    <font>
      <b/>
      <sz val="9"/>
      <name val="Arial"/>
      <family val="2"/>
    </font>
    <font>
      <sz val="9"/>
      <name val="Arial"/>
      <family val="2"/>
    </font>
    <font>
      <sz val="10"/>
      <color theme="0"/>
      <name val="Aptos"/>
      <family val="2"/>
    </font>
    <font>
      <b/>
      <sz val="22"/>
      <color theme="0"/>
      <name val="Aptos"/>
      <family val="2"/>
    </font>
    <font>
      <sz val="11"/>
      <color theme="0"/>
      <name val="Aptos"/>
      <family val="2"/>
      <charset val="238"/>
    </font>
    <font>
      <b/>
      <sz val="24"/>
      <color theme="8" tint="-0.499984740745262"/>
      <name val="Aptos"/>
      <family val="2"/>
    </font>
    <font>
      <sz val="10"/>
      <color theme="8" tint="-0.499984740745262"/>
      <name val="Arial"/>
      <family val="2"/>
    </font>
    <font>
      <b/>
      <sz val="11"/>
      <color theme="8" tint="-0.499984740745262"/>
      <name val="Aptos"/>
      <family val="2"/>
      <charset val="238"/>
    </font>
    <font>
      <b/>
      <sz val="10"/>
      <color theme="8" tint="-0.499984740745262"/>
      <name val="Arial"/>
      <family val="2"/>
      <charset val="238"/>
    </font>
    <font>
      <b/>
      <sz val="14"/>
      <color theme="8" tint="-0.499984740745262"/>
      <name val="Aptos"/>
      <family val="2"/>
      <charset val="238"/>
    </font>
    <font>
      <sz val="10"/>
      <color theme="8" tint="-0.499984740745262"/>
      <name val="Aptos"/>
      <family val="2"/>
      <charset val="238"/>
    </font>
    <font>
      <sz val="10"/>
      <color theme="8" tint="-0.499984740745262"/>
      <name val="Aptos"/>
      <family val="2"/>
    </font>
    <font>
      <b/>
      <sz val="12"/>
      <color theme="8" tint="-0.499984740745262"/>
      <name val="Aptos"/>
      <family val="2"/>
      <charset val="238"/>
    </font>
    <font>
      <b/>
      <sz val="12"/>
      <color theme="8" tint="-0.499984740745262"/>
      <name val="Arial"/>
      <family val="2"/>
      <charset val="238"/>
    </font>
    <font>
      <b/>
      <sz val="14"/>
      <color theme="8" tint="-0.499984740745262"/>
      <name val="Aptos"/>
      <family val="2"/>
    </font>
    <font>
      <sz val="14"/>
      <color theme="8" tint="-0.499984740745262"/>
      <name val="Aptos"/>
      <family val="2"/>
    </font>
    <font>
      <b/>
      <sz val="11"/>
      <color theme="8" tint="-0.499984740745262"/>
      <name val="Aptos"/>
      <family val="2"/>
    </font>
    <font>
      <sz val="11"/>
      <color theme="8" tint="-0.499984740745262"/>
      <name val="Aptos"/>
      <family val="2"/>
    </font>
    <font>
      <sz val="11"/>
      <color theme="8" tint="-0.499984740745262"/>
      <name val="Aptos"/>
      <family val="2"/>
      <charset val="238"/>
    </font>
    <font>
      <sz val="11"/>
      <name val="Arial"/>
      <family val="2"/>
    </font>
    <font>
      <i/>
      <sz val="11"/>
      <color theme="8" tint="-0.499984740745262"/>
      <name val="Aptos"/>
      <family val="2"/>
    </font>
    <font>
      <sz val="12"/>
      <color theme="8" tint="-0.499984740745262"/>
      <name val="Aptos"/>
      <family val="2"/>
    </font>
    <font>
      <b/>
      <sz val="12"/>
      <color theme="8" tint="-0.499984740745262"/>
      <name val="Aptos"/>
      <family val="2"/>
    </font>
    <font>
      <sz val="12"/>
      <color theme="8" tint="-0.499984740745262"/>
      <name val="Aptos"/>
      <family val="2"/>
      <charset val="238"/>
    </font>
    <font>
      <sz val="12"/>
      <name val="Arial"/>
      <family val="2"/>
      <charset val="238"/>
    </font>
    <font>
      <sz val="12"/>
      <name val="Arial"/>
      <family val="2"/>
    </font>
    <font>
      <b/>
      <sz val="12"/>
      <color theme="0"/>
      <name val="Aptos"/>
      <family val="2"/>
    </font>
    <font>
      <sz val="12"/>
      <color theme="0"/>
      <name val="Aptos"/>
      <family val="2"/>
    </font>
  </fonts>
  <fills count="1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C6EFCE"/>
      </patternFill>
    </fill>
    <fill>
      <patternFill patternType="solid">
        <fgColor rgb="FFF2F2F2"/>
      </patternFill>
    </fill>
    <fill>
      <patternFill patternType="solid">
        <fgColor rgb="FF31869B"/>
        <bgColor indexed="64"/>
      </patternFill>
    </fill>
    <fill>
      <patternFill patternType="solid">
        <fgColor indexed="41"/>
        <bgColor indexed="64"/>
      </patternFill>
    </fill>
    <fill>
      <patternFill patternType="solid">
        <fgColor indexed="22"/>
        <bgColor indexed="64"/>
      </patternFill>
    </fill>
    <fill>
      <patternFill patternType="solid">
        <fgColor indexed="42"/>
        <bgColor indexed="64"/>
      </patternFill>
    </fill>
    <fill>
      <patternFill patternType="solid">
        <fgColor indexed="13"/>
        <bgColor indexed="64"/>
      </patternFill>
    </fill>
    <fill>
      <patternFill patternType="solid">
        <fgColor rgb="FF06C6BD"/>
        <bgColor indexed="64"/>
      </patternFill>
    </fill>
    <fill>
      <patternFill patternType="solid">
        <fgColor rgb="FFCEE8E7"/>
        <bgColor indexed="64"/>
      </patternFill>
    </fill>
    <fill>
      <patternFill patternType="solid">
        <fgColor theme="8" tint="-0.249977111117893"/>
        <bgColor indexed="64"/>
      </patternFill>
    </fill>
    <fill>
      <patternFill patternType="solid">
        <fgColor theme="5" tint="0.39997558519241921"/>
        <bgColor indexed="64"/>
      </patternFill>
    </fill>
    <fill>
      <patternFill patternType="solid">
        <fgColor theme="9" tint="-0.249977111117893"/>
        <bgColor indexed="64"/>
      </patternFill>
    </fill>
    <fill>
      <patternFill patternType="solid">
        <fgColor rgb="FFFFFBFB"/>
        <bgColor indexed="64"/>
      </patternFill>
    </fill>
    <fill>
      <patternFill patternType="solid">
        <fgColor rgb="FFDA9694"/>
        <bgColor indexed="64"/>
      </patternFill>
    </fill>
  </fills>
  <borders count="1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right style="thin">
        <color indexed="64"/>
      </right>
      <top/>
      <bottom/>
      <diagonal/>
    </border>
    <border>
      <left style="medium">
        <color indexed="64"/>
      </left>
      <right style="thin">
        <color rgb="FF7F7F7F"/>
      </right>
      <top style="medium">
        <color indexed="64"/>
      </top>
      <bottom style="thin">
        <color rgb="FF7F7F7F"/>
      </bottom>
      <diagonal/>
    </border>
    <border>
      <left style="thin">
        <color rgb="FF7F7F7F"/>
      </left>
      <right style="medium">
        <color indexed="64"/>
      </right>
      <top style="medium">
        <color indexed="64"/>
      </top>
      <bottom style="thin">
        <color rgb="FF7F7F7F"/>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12"/>
      </left>
      <right style="thin">
        <color indexed="12"/>
      </right>
      <top style="thin">
        <color indexed="12"/>
      </top>
      <bottom style="thin">
        <color indexed="12"/>
      </bottom>
      <diagonal/>
    </border>
    <border>
      <left style="dotted">
        <color indexed="57"/>
      </left>
      <right style="dotted">
        <color indexed="57"/>
      </right>
      <top style="dotted">
        <color indexed="57"/>
      </top>
      <bottom style="dotted">
        <color indexed="57"/>
      </bottom>
      <diagonal/>
    </border>
    <border>
      <left style="medium">
        <color indexed="64"/>
      </left>
      <right style="thin">
        <color indexed="64"/>
      </right>
      <top style="thin">
        <color indexed="64"/>
      </top>
      <bottom/>
      <diagonal/>
    </border>
    <border>
      <left style="thin">
        <color indexed="57"/>
      </left>
      <right style="thin">
        <color indexed="57"/>
      </right>
      <top style="thin">
        <color indexed="57"/>
      </top>
      <bottom style="thin">
        <color indexed="57"/>
      </bottom>
      <diagonal/>
    </border>
    <border>
      <left style="medium">
        <color indexed="64"/>
      </left>
      <right style="thin">
        <color theme="3"/>
      </right>
      <top/>
      <bottom/>
      <diagonal/>
    </border>
    <border>
      <left style="thin">
        <color theme="1"/>
      </left>
      <right style="thin">
        <color theme="1"/>
      </right>
      <top style="thin">
        <color theme="1"/>
      </top>
      <bottom style="thin">
        <color theme="1"/>
      </bottom>
      <diagonal/>
    </border>
    <border>
      <left/>
      <right style="medium">
        <color theme="1"/>
      </right>
      <top style="medium">
        <color theme="1"/>
      </top>
      <bottom/>
      <diagonal/>
    </border>
    <border>
      <left style="medium">
        <color theme="1"/>
      </left>
      <right/>
      <top/>
      <bottom/>
      <diagonal/>
    </border>
    <border>
      <left/>
      <right style="medium">
        <color theme="1"/>
      </right>
      <top style="medium">
        <color indexed="64"/>
      </top>
      <bottom/>
      <diagonal/>
    </border>
    <border>
      <left style="medium">
        <color theme="1"/>
      </left>
      <right/>
      <top/>
      <bottom style="medium">
        <color indexed="64"/>
      </bottom>
      <diagonal/>
    </border>
    <border>
      <left/>
      <right style="medium">
        <color theme="1"/>
      </right>
      <top/>
      <bottom style="medium">
        <color indexed="64"/>
      </bottom>
      <diagonal/>
    </border>
    <border>
      <left style="medium">
        <color theme="1"/>
      </left>
      <right/>
      <top style="medium">
        <color indexed="64"/>
      </top>
      <bottom style="medium">
        <color theme="1"/>
      </bottom>
      <diagonal/>
    </border>
    <border>
      <left/>
      <right style="medium">
        <color theme="1"/>
      </right>
      <top style="medium">
        <color indexed="64"/>
      </top>
      <bottom style="medium">
        <color theme="1"/>
      </bottom>
      <diagonal/>
    </border>
    <border>
      <left/>
      <right/>
      <top style="medium">
        <color theme="1"/>
      </top>
      <bottom/>
      <diagonal/>
    </border>
    <border>
      <left style="medium">
        <color theme="1"/>
      </left>
      <right/>
      <top style="medium">
        <color theme="1"/>
      </top>
      <bottom style="medium">
        <color indexed="64"/>
      </bottom>
      <diagonal/>
    </border>
    <border>
      <left style="medium">
        <color theme="1"/>
      </left>
      <right/>
      <top style="medium">
        <color indexed="64"/>
      </top>
      <bottom/>
      <diagonal/>
    </border>
    <border>
      <left/>
      <right style="medium">
        <color theme="1"/>
      </right>
      <top/>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5" tint="0.39997558519241921"/>
      </left>
      <right style="medium">
        <color theme="5" tint="0.39997558519241921"/>
      </right>
      <top style="medium">
        <color theme="5" tint="0.39997558519241921"/>
      </top>
      <bottom style="medium">
        <color theme="5" tint="0.39997558519241921"/>
      </bottom>
      <diagonal/>
    </border>
    <border>
      <left style="thin">
        <color indexed="12"/>
      </left>
      <right style="medium">
        <color indexed="64"/>
      </right>
      <top style="thin">
        <color indexed="12"/>
      </top>
      <bottom style="thin">
        <color indexed="12"/>
      </bottom>
      <diagonal/>
    </border>
    <border>
      <left style="thin">
        <color indexed="12"/>
      </left>
      <right style="medium">
        <color indexed="64"/>
      </right>
      <top style="thin">
        <color indexed="12"/>
      </top>
      <bottom style="medium">
        <color indexed="64"/>
      </bottom>
      <diagonal/>
    </border>
    <border>
      <left/>
      <right style="medium">
        <color indexed="64"/>
      </right>
      <top style="medium">
        <color indexed="64"/>
      </top>
      <bottom style="thin">
        <color rgb="FF7F7F7F"/>
      </bottom>
      <diagonal/>
    </border>
    <border>
      <left/>
      <right style="medium">
        <color indexed="64"/>
      </right>
      <top style="thin">
        <color rgb="FF7F7F7F"/>
      </top>
      <bottom style="thin">
        <color rgb="FF7F7F7F"/>
      </bottom>
      <diagonal/>
    </border>
    <border>
      <left style="medium">
        <color indexed="64"/>
      </left>
      <right style="medium">
        <color indexed="64"/>
      </right>
      <top style="medium">
        <color indexed="64"/>
      </top>
      <bottom style="thin">
        <color rgb="FF7F7F7F"/>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diagonal/>
    </border>
    <border>
      <left/>
      <right style="medium">
        <color indexed="64"/>
      </right>
      <top style="thin">
        <color rgb="FF7F7F7F"/>
      </top>
      <bottom/>
      <diagonal/>
    </border>
    <border>
      <left style="medium">
        <color indexed="64"/>
      </left>
      <right style="thin">
        <color rgb="FF7F7F7F"/>
      </right>
      <top style="thin">
        <color rgb="FF7F7F7F"/>
      </top>
      <bottom/>
      <diagonal/>
    </border>
    <border>
      <left style="thin">
        <color rgb="FF7F7F7F"/>
      </left>
      <right style="medium">
        <color indexed="64"/>
      </right>
      <top style="thin">
        <color rgb="FF7F7F7F"/>
      </top>
      <bottom/>
      <diagonal/>
    </border>
    <border>
      <left style="medium">
        <color indexed="64"/>
      </left>
      <right style="thin">
        <color rgb="FF7F7F7F"/>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style="medium">
        <color theme="1"/>
      </left>
      <right/>
      <top style="medium">
        <color theme="1"/>
      </top>
      <bottom/>
      <diagonal/>
    </border>
    <border>
      <left/>
      <right/>
      <top style="medium">
        <color theme="1"/>
      </top>
      <bottom style="medium">
        <color indexed="64"/>
      </bottom>
      <diagonal/>
    </border>
    <border>
      <left style="thin">
        <color theme="1"/>
      </left>
      <right style="medium">
        <color theme="1"/>
      </right>
      <top style="thin">
        <color theme="1"/>
      </top>
      <bottom style="thin">
        <color theme="1"/>
      </bottom>
      <diagonal/>
    </border>
    <border>
      <left style="medium">
        <color theme="1"/>
      </left>
      <right/>
      <top/>
      <bottom style="medium">
        <color theme="1"/>
      </bottom>
      <diagonal/>
    </border>
    <border>
      <left/>
      <right/>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thin">
        <color theme="1"/>
      </right>
      <top/>
      <bottom style="thin">
        <color theme="1"/>
      </bottom>
      <diagonal/>
    </border>
    <border>
      <left style="thin">
        <color theme="1"/>
      </left>
      <right style="medium">
        <color theme="1"/>
      </right>
      <top/>
      <bottom style="thin">
        <color theme="1"/>
      </bottom>
      <diagonal/>
    </border>
    <border>
      <left style="thin">
        <color theme="1"/>
      </left>
      <right/>
      <top style="medium">
        <color theme="1"/>
      </top>
      <bottom style="medium">
        <color theme="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theme="1"/>
      </top>
      <bottom style="medium">
        <color theme="1"/>
      </bottom>
      <diagonal/>
    </border>
    <border>
      <left style="thin">
        <color indexed="64"/>
      </left>
      <right style="medium">
        <color theme="1"/>
      </right>
      <top style="medium">
        <color theme="1"/>
      </top>
      <bottom style="medium">
        <color theme="1"/>
      </bottom>
      <diagonal/>
    </border>
    <border>
      <left style="thin">
        <color theme="1"/>
      </left>
      <right style="thin">
        <color theme="1"/>
      </right>
      <top style="thin">
        <color theme="1"/>
      </top>
      <bottom/>
      <diagonal/>
    </border>
    <border>
      <left style="thin">
        <color theme="1"/>
      </left>
      <right style="thin">
        <color theme="1"/>
      </right>
      <top style="medium">
        <color theme="1"/>
      </top>
      <bottom style="medium">
        <color theme="1"/>
      </bottom>
      <diagonal/>
    </border>
    <border>
      <left style="thin">
        <color theme="1"/>
      </left>
      <right style="medium">
        <color theme="1"/>
      </right>
      <top style="medium">
        <color theme="1"/>
      </top>
      <bottom style="medium">
        <color theme="1"/>
      </bottom>
      <diagonal/>
    </border>
    <border>
      <left style="thin">
        <color theme="1"/>
      </left>
      <right style="medium">
        <color theme="1"/>
      </right>
      <top style="thin">
        <color theme="1"/>
      </top>
      <bottom/>
      <diagonal/>
    </border>
    <border>
      <left style="thin">
        <color indexed="64"/>
      </left>
      <right style="medium">
        <color theme="1"/>
      </right>
      <top/>
      <bottom style="thin">
        <color indexed="64"/>
      </bottom>
      <diagonal/>
    </border>
    <border>
      <left style="thin">
        <color indexed="64"/>
      </left>
      <right style="medium">
        <color theme="1"/>
      </right>
      <top style="thin">
        <color indexed="64"/>
      </top>
      <bottom style="thin">
        <color indexed="64"/>
      </bottom>
      <diagonal/>
    </border>
    <border>
      <left style="thin">
        <color indexed="64"/>
      </left>
      <right style="medium">
        <color theme="1"/>
      </right>
      <top style="thin">
        <color indexed="64"/>
      </top>
      <bottom/>
      <diagonal/>
    </border>
    <border>
      <left/>
      <right style="medium">
        <color theme="1"/>
      </right>
      <top style="medium">
        <color theme="1"/>
      </top>
      <bottom style="medium">
        <color indexed="64"/>
      </bottom>
      <diagonal/>
    </border>
    <border>
      <left style="thin">
        <color indexed="12"/>
      </left>
      <right style="medium">
        <color theme="1"/>
      </right>
      <top style="thin">
        <color indexed="12"/>
      </top>
      <bottom style="thin">
        <color indexed="12"/>
      </bottom>
      <diagonal/>
    </border>
    <border>
      <left style="medium">
        <color theme="1"/>
      </left>
      <right style="medium">
        <color indexed="64"/>
      </right>
      <top style="medium">
        <color theme="1"/>
      </top>
      <bottom style="medium">
        <color theme="1"/>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theme="1"/>
      </left>
      <right style="thin">
        <color indexed="64"/>
      </right>
      <top style="medium">
        <color theme="1"/>
      </top>
      <bottom style="medium">
        <color theme="1"/>
      </bottom>
      <diagonal/>
    </border>
    <border>
      <left style="medium">
        <color theme="5" tint="0.39997558519241921"/>
      </left>
      <right/>
      <top style="medium">
        <color theme="5" tint="0.39997558519241921"/>
      </top>
      <bottom style="medium">
        <color theme="5" tint="0.39997558519241921"/>
      </bottom>
      <diagonal/>
    </border>
    <border>
      <left/>
      <right style="medium">
        <color theme="5" tint="0.39997558519241921"/>
      </right>
      <top style="medium">
        <color theme="5" tint="0.39997558519241921"/>
      </top>
      <bottom style="medium">
        <color theme="5" tint="0.39997558519241921"/>
      </bottom>
      <diagonal/>
    </border>
    <border>
      <left/>
      <right/>
      <top style="medium">
        <color theme="5" tint="0.39997558519241921"/>
      </top>
      <bottom style="medium">
        <color theme="5" tint="0.39997558519241921"/>
      </bottom>
      <diagonal/>
    </border>
    <border>
      <left/>
      <right style="medium">
        <color indexed="64"/>
      </right>
      <top style="medium">
        <color theme="1"/>
      </top>
      <bottom style="medium">
        <color theme="1"/>
      </bottom>
      <diagonal/>
    </border>
    <border>
      <left style="dotted">
        <color indexed="57"/>
      </left>
      <right style="dotted">
        <color indexed="57"/>
      </right>
      <top/>
      <bottom style="dotted">
        <color indexed="57"/>
      </bottom>
      <diagonal/>
    </border>
    <border>
      <left style="dotted">
        <color indexed="57"/>
      </left>
      <right style="medium">
        <color theme="1"/>
      </right>
      <top/>
      <bottom style="dotted">
        <color indexed="57"/>
      </bottom>
      <diagonal/>
    </border>
    <border>
      <left style="dotted">
        <color indexed="57"/>
      </left>
      <right style="dotted">
        <color indexed="57"/>
      </right>
      <top style="dotted">
        <color indexed="57"/>
      </top>
      <bottom style="medium">
        <color theme="1"/>
      </bottom>
      <diagonal/>
    </border>
    <border>
      <left style="dotted">
        <color indexed="57"/>
      </left>
      <right style="medium">
        <color theme="1"/>
      </right>
      <top style="dotted">
        <color indexed="57"/>
      </top>
      <bottom style="medium">
        <color theme="1"/>
      </bottom>
      <diagonal/>
    </border>
    <border>
      <left style="dotted">
        <color indexed="57"/>
      </left>
      <right style="dotted">
        <color indexed="57"/>
      </right>
      <top style="dotted">
        <color indexed="57"/>
      </top>
      <bottom/>
      <diagonal/>
    </border>
    <border>
      <left style="dotted">
        <color indexed="57"/>
      </left>
      <right style="medium">
        <color theme="1"/>
      </right>
      <top style="dotted">
        <color indexed="57"/>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medium">
        <color rgb="FFDA9694"/>
      </left>
      <right/>
      <top/>
      <bottom/>
      <diagonal/>
    </border>
    <border>
      <left/>
      <right style="medium">
        <color rgb="FFDA9694"/>
      </right>
      <top style="medium">
        <color theme="5" tint="0.39997558519241921"/>
      </top>
      <bottom style="medium">
        <color theme="5" tint="0.39997558519241921"/>
      </bottom>
      <diagonal/>
    </border>
    <border>
      <left/>
      <right style="medium">
        <color indexed="64"/>
      </right>
      <top style="thin">
        <color rgb="FF7F7F7F"/>
      </top>
      <bottom style="medium">
        <color indexed="64"/>
      </bottom>
      <diagonal/>
    </border>
    <border>
      <left style="medium">
        <color theme="1"/>
      </left>
      <right style="medium">
        <color indexed="64"/>
      </right>
      <top style="thin">
        <color rgb="FF7F7F7F"/>
      </top>
      <bottom style="thin">
        <color rgb="FF7F7F7F"/>
      </bottom>
      <diagonal/>
    </border>
    <border>
      <left style="medium">
        <color theme="1"/>
      </left>
      <right style="medium">
        <color indexed="64"/>
      </right>
      <top style="thin">
        <color rgb="FF7F7F7F"/>
      </top>
      <bottom style="medium">
        <color indexed="64"/>
      </bottom>
      <diagonal/>
    </border>
    <border>
      <left style="medium">
        <color theme="1"/>
      </left>
      <right style="medium">
        <color theme="1"/>
      </right>
      <top style="medium">
        <color theme="1"/>
      </top>
      <bottom style="thin">
        <color rgb="FF7F7F7F"/>
      </bottom>
      <diagonal/>
    </border>
    <border>
      <left style="medium">
        <color theme="1"/>
      </left>
      <right style="medium">
        <color theme="1"/>
      </right>
      <top style="thin">
        <color rgb="FF7F7F7F"/>
      </top>
      <bottom style="thin">
        <color rgb="FF7F7F7F"/>
      </bottom>
      <diagonal/>
    </border>
    <border>
      <left style="medium">
        <color theme="1"/>
      </left>
      <right style="medium">
        <color theme="1"/>
      </right>
      <top style="thin">
        <color rgb="FF7F7F7F"/>
      </top>
      <bottom style="medium">
        <color theme="1"/>
      </bottom>
      <diagonal/>
    </border>
    <border>
      <left style="dotted">
        <color indexed="57"/>
      </left>
      <right style="dotted">
        <color indexed="57"/>
      </right>
      <top style="medium">
        <color theme="1"/>
      </top>
      <bottom/>
      <diagonal/>
    </border>
    <border>
      <left style="dotted">
        <color indexed="57"/>
      </left>
      <right style="medium">
        <color theme="1"/>
      </right>
      <top style="medium">
        <color theme="1"/>
      </top>
      <bottom/>
      <diagonal/>
    </border>
  </borders>
  <cellStyleXfs count="18">
    <xf numFmtId="0" fontId="0" fillId="0" borderId="0"/>
    <xf numFmtId="0" fontId="2" fillId="0" borderId="0"/>
    <xf numFmtId="0" fontId="1" fillId="0" borderId="0"/>
    <xf numFmtId="0" fontId="6" fillId="0" borderId="0"/>
    <xf numFmtId="9" fontId="9" fillId="0" borderId="0" applyFont="0" applyFill="0" applyBorder="0" applyAlignment="0" applyProtection="0"/>
    <xf numFmtId="0" fontId="10" fillId="4" borderId="0" applyNumberFormat="0" applyBorder="0" applyAlignment="0" applyProtection="0"/>
    <xf numFmtId="0" fontId="11" fillId="5" borderId="17" applyNumberFormat="0" applyAlignment="0" applyProtection="0"/>
    <xf numFmtId="0" fontId="22" fillId="7" borderId="0" applyNumberFormat="0">
      <alignment horizontal="centerContinuous" vertical="top"/>
    </xf>
    <xf numFmtId="0" fontId="23" fillId="0" borderId="27" applyNumberFormat="0" applyAlignment="0">
      <alignment vertical="center"/>
      <protection locked="0"/>
    </xf>
    <xf numFmtId="168" fontId="23" fillId="0" borderId="0" applyFont="0" applyFill="0" applyBorder="0" applyAlignment="0" applyProtection="0">
      <alignment vertical="center"/>
    </xf>
    <xf numFmtId="170" fontId="23" fillId="0" borderId="0" applyFont="0" applyFill="0" applyBorder="0" applyAlignment="0" applyProtection="0">
      <alignment vertical="center"/>
    </xf>
    <xf numFmtId="0" fontId="23" fillId="8" borderId="0" applyNumberFormat="0" applyFont="0" applyBorder="0" applyAlignment="0" applyProtection="0">
      <alignment vertical="center"/>
    </xf>
    <xf numFmtId="0" fontId="22" fillId="0" borderId="0" applyNumberFormat="0" applyFill="0" applyBorder="0" applyAlignment="0" applyProtection="0">
      <alignment vertical="center"/>
    </xf>
    <xf numFmtId="0" fontId="23" fillId="0" borderId="28" applyNumberFormat="0" applyAlignment="0">
      <alignment vertical="center"/>
    </xf>
    <xf numFmtId="171" fontId="23" fillId="0" borderId="0" applyFont="0" applyFill="0" applyBorder="0" applyAlignment="0" applyProtection="0">
      <alignment horizontal="right" vertical="center"/>
    </xf>
    <xf numFmtId="0" fontId="23" fillId="9" borderId="0" applyNumberFormat="0" applyAlignment="0">
      <alignment vertical="center"/>
    </xf>
    <xf numFmtId="0" fontId="23" fillId="10" borderId="0" applyNumberFormat="0" applyFont="0" applyBorder="0" applyAlignment="0" applyProtection="0">
      <alignment vertical="center"/>
    </xf>
    <xf numFmtId="0" fontId="23" fillId="0" borderId="30" applyNumberFormat="0" applyAlignment="0">
      <alignment vertical="center"/>
      <protection locked="0"/>
    </xf>
  </cellStyleXfs>
  <cellXfs count="291">
    <xf numFmtId="0" fontId="0" fillId="0" borderId="0" xfId="0"/>
    <xf numFmtId="0" fontId="3" fillId="0" borderId="0" xfId="0" applyFont="1"/>
    <xf numFmtId="3" fontId="3" fillId="0" borderId="1" xfId="0" applyNumberFormat="1" applyFont="1" applyBorder="1"/>
    <xf numFmtId="3" fontId="3" fillId="0" borderId="0" xfId="0" applyNumberFormat="1" applyFont="1"/>
    <xf numFmtId="0" fontId="4" fillId="2" borderId="1" xfId="0" applyFont="1" applyFill="1" applyBorder="1" applyAlignment="1">
      <alignment horizontal="center"/>
    </xf>
    <xf numFmtId="0" fontId="3" fillId="0" borderId="1" xfId="0" applyFont="1" applyBorder="1"/>
    <xf numFmtId="4" fontId="3" fillId="0" borderId="1" xfId="0" applyNumberFormat="1" applyFont="1" applyBorder="1"/>
    <xf numFmtId="2" fontId="3" fillId="0" borderId="0" xfId="0" applyNumberFormat="1" applyFont="1"/>
    <xf numFmtId="4" fontId="3" fillId="0" borderId="0" xfId="0" applyNumberFormat="1" applyFont="1"/>
    <xf numFmtId="3" fontId="5" fillId="0" borderId="0" xfId="0" applyNumberFormat="1" applyFont="1"/>
    <xf numFmtId="0" fontId="3" fillId="2" borderId="1" xfId="0" applyFont="1" applyFill="1" applyBorder="1" applyAlignment="1">
      <alignment horizontal="center"/>
    </xf>
    <xf numFmtId="2" fontId="3" fillId="2" borderId="1" xfId="0" applyNumberFormat="1" applyFont="1" applyFill="1" applyBorder="1" applyAlignment="1">
      <alignment horizontal="center"/>
    </xf>
    <xf numFmtId="2" fontId="3" fillId="0" borderId="1" xfId="0" applyNumberFormat="1" applyFont="1" applyBorder="1"/>
    <xf numFmtId="3" fontId="3" fillId="2" borderId="1" xfId="0" applyNumberFormat="1" applyFont="1" applyFill="1" applyBorder="1"/>
    <xf numFmtId="0" fontId="4" fillId="2" borderId="1" xfId="0" applyFont="1" applyFill="1" applyBorder="1" applyAlignment="1">
      <alignment horizontal="justify"/>
    </xf>
    <xf numFmtId="0" fontId="4" fillId="2" borderId="1" xfId="0" applyFont="1" applyFill="1" applyBorder="1" applyAlignment="1">
      <alignment horizontal="center" wrapText="1"/>
    </xf>
    <xf numFmtId="0" fontId="4" fillId="0" borderId="1" xfId="0" applyFont="1" applyBorder="1" applyAlignment="1">
      <alignment horizontal="justify" vertical="center"/>
    </xf>
    <xf numFmtId="0" fontId="3" fillId="0" borderId="1" xfId="0" applyFont="1" applyBorder="1" applyAlignment="1">
      <alignment horizontal="right" vertical="center"/>
    </xf>
    <xf numFmtId="3" fontId="3" fillId="0" borderId="1" xfId="0" applyNumberFormat="1" applyFont="1" applyBorder="1" applyAlignment="1">
      <alignment horizontal="right" vertical="center"/>
    </xf>
    <xf numFmtId="10" fontId="3" fillId="0" borderId="1" xfId="0" applyNumberFormat="1" applyFont="1" applyBorder="1" applyAlignment="1">
      <alignment horizontal="right" vertical="center"/>
    </xf>
    <xf numFmtId="9" fontId="3" fillId="3" borderId="1" xfId="0" applyNumberFormat="1" applyFont="1" applyFill="1" applyBorder="1"/>
    <xf numFmtId="0" fontId="14" fillId="6" borderId="3" xfId="0" applyFont="1" applyFill="1" applyBorder="1" applyAlignment="1">
      <alignment vertical="center"/>
    </xf>
    <xf numFmtId="0" fontId="15" fillId="6" borderId="5" xfId="0" applyFont="1" applyFill="1" applyBorder="1" applyAlignment="1">
      <alignment vertical="center"/>
    </xf>
    <xf numFmtId="0" fontId="18" fillId="12" borderId="0" xfId="0" applyFont="1" applyFill="1"/>
    <xf numFmtId="0" fontId="27" fillId="12" borderId="0" xfId="0" applyFont="1" applyFill="1" applyAlignment="1">
      <alignment horizontal="left" vertical="center"/>
    </xf>
    <xf numFmtId="0" fontId="14" fillId="12" borderId="0" xfId="0" applyFont="1" applyFill="1" applyAlignment="1">
      <alignment horizontal="left" vertical="center"/>
    </xf>
    <xf numFmtId="0" fontId="18" fillId="12" borderId="0" xfId="0" applyFont="1" applyFill="1" applyAlignment="1">
      <alignment vertical="center"/>
    </xf>
    <xf numFmtId="0" fontId="14" fillId="12" borderId="0" xfId="0" applyFont="1" applyFill="1"/>
    <xf numFmtId="0" fontId="18" fillId="12" borderId="0" xfId="0" applyFont="1" applyFill="1" applyAlignment="1">
      <alignment horizontal="center" vertical="center"/>
    </xf>
    <xf numFmtId="0" fontId="0" fillId="12" borderId="0" xfId="0" applyFill="1"/>
    <xf numFmtId="0" fontId="25" fillId="12" borderId="0" xfId="0" applyFont="1" applyFill="1"/>
    <xf numFmtId="0" fontId="24" fillId="12" borderId="0" xfId="0" applyFont="1" applyFill="1"/>
    <xf numFmtId="2" fontId="18" fillId="12" borderId="0" xfId="0" applyNumberFormat="1" applyFont="1" applyFill="1"/>
    <xf numFmtId="170" fontId="14" fillId="12" borderId="0" xfId="10" applyFont="1" applyFill="1" applyAlignment="1">
      <alignment horizontal="center" vertical="center"/>
    </xf>
    <xf numFmtId="170" fontId="18" fillId="12" borderId="0" xfId="10" applyFont="1" applyFill="1">
      <alignment vertical="center"/>
    </xf>
    <xf numFmtId="170" fontId="18" fillId="12" borderId="0" xfId="0" applyNumberFormat="1" applyFont="1" applyFill="1"/>
    <xf numFmtId="172" fontId="18" fillId="12" borderId="0" xfId="10" applyNumberFormat="1" applyFont="1" applyFill="1">
      <alignment vertical="center"/>
    </xf>
    <xf numFmtId="0" fontId="26" fillId="12" borderId="0" xfId="0" applyFont="1" applyFill="1" applyAlignment="1">
      <alignment vertical="center"/>
    </xf>
    <xf numFmtId="0" fontId="21" fillId="12" borderId="0" xfId="0" applyFont="1" applyFill="1"/>
    <xf numFmtId="0" fontId="21" fillId="12" borderId="6" xfId="0" applyFont="1" applyFill="1" applyBorder="1"/>
    <xf numFmtId="0" fontId="0" fillId="12" borderId="0" xfId="0" applyFill="1" applyAlignment="1">
      <alignment horizontal="center"/>
    </xf>
    <xf numFmtId="0" fontId="13" fillId="12" borderId="0" xfId="0" applyFont="1" applyFill="1"/>
    <xf numFmtId="0" fontId="12" fillId="12" borderId="0" xfId="0" applyFont="1" applyFill="1"/>
    <xf numFmtId="0" fontId="13" fillId="12" borderId="0" xfId="2" applyFont="1" applyFill="1"/>
    <xf numFmtId="0" fontId="12" fillId="12" borderId="0" xfId="2" applyFont="1" applyFill="1"/>
    <xf numFmtId="3" fontId="13" fillId="12" borderId="0" xfId="2" applyNumberFormat="1" applyFont="1" applyFill="1"/>
    <xf numFmtId="165" fontId="13" fillId="12" borderId="0" xfId="0" applyNumberFormat="1" applyFont="1" applyFill="1"/>
    <xf numFmtId="165" fontId="17" fillId="12" borderId="0" xfId="6" applyNumberFormat="1" applyFont="1" applyFill="1" applyBorder="1"/>
    <xf numFmtId="170" fontId="12" fillId="12" borderId="0" xfId="0" applyNumberFormat="1" applyFont="1" applyFill="1"/>
    <xf numFmtId="3" fontId="13" fillId="12" borderId="0" xfId="0" applyNumberFormat="1" applyFont="1" applyFill="1"/>
    <xf numFmtId="0" fontId="29" fillId="12" borderId="0" xfId="0" applyFont="1" applyFill="1" applyAlignment="1">
      <alignment horizontal="center" vertical="center"/>
    </xf>
    <xf numFmtId="0" fontId="28" fillId="12" borderId="0" xfId="0" applyFont="1" applyFill="1" applyAlignment="1">
      <alignment horizontal="center" vertical="center"/>
    </xf>
    <xf numFmtId="0" fontId="8" fillId="12" borderId="0" xfId="0" applyFont="1" applyFill="1" applyAlignment="1">
      <alignment horizontal="center" vertical="center"/>
    </xf>
    <xf numFmtId="3" fontId="12" fillId="12" borderId="0" xfId="0" applyNumberFormat="1" applyFont="1" applyFill="1"/>
    <xf numFmtId="3" fontId="12" fillId="12" borderId="0" xfId="6" applyNumberFormat="1" applyFont="1" applyFill="1" applyBorder="1"/>
    <xf numFmtId="0" fontId="12" fillId="12" borderId="0" xfId="6" applyFont="1" applyFill="1" applyBorder="1"/>
    <xf numFmtId="3" fontId="13" fillId="12" borderId="0" xfId="6" applyNumberFormat="1" applyFont="1" applyFill="1" applyBorder="1"/>
    <xf numFmtId="0" fontId="16" fillId="12" borderId="0" xfId="5" applyFont="1" applyFill="1" applyBorder="1"/>
    <xf numFmtId="3" fontId="16" fillId="12" borderId="0" xfId="5" applyNumberFormat="1" applyFont="1" applyFill="1" applyBorder="1"/>
    <xf numFmtId="0" fontId="30" fillId="12" borderId="0" xfId="0" applyFont="1" applyFill="1" applyAlignment="1">
      <alignment horizontal="center" vertical="center"/>
    </xf>
    <xf numFmtId="0" fontId="28" fillId="12" borderId="0" xfId="0" applyFont="1" applyFill="1"/>
    <xf numFmtId="0" fontId="32" fillId="12" borderId="0" xfId="0" applyFont="1" applyFill="1"/>
    <xf numFmtId="0" fontId="32" fillId="12" borderId="0" xfId="0" applyFont="1" applyFill="1" applyProtection="1">
      <protection locked="0"/>
    </xf>
    <xf numFmtId="0" fontId="12" fillId="12" borderId="40" xfId="0" applyFont="1" applyFill="1" applyBorder="1"/>
    <xf numFmtId="0" fontId="14" fillId="13" borderId="41" xfId="0" applyFont="1" applyFill="1" applyBorder="1"/>
    <xf numFmtId="0" fontId="14" fillId="6" borderId="33" xfId="0" applyFont="1" applyFill="1" applyBorder="1"/>
    <xf numFmtId="0" fontId="14" fillId="6" borderId="45" xfId="0" applyFont="1" applyFill="1" applyBorder="1" applyAlignment="1">
      <alignment horizontal="left" vertical="center"/>
    </xf>
    <xf numFmtId="0" fontId="14" fillId="6" borderId="45" xfId="0" applyFont="1" applyFill="1" applyBorder="1" applyAlignment="1">
      <alignment horizontal="center" vertical="center"/>
    </xf>
    <xf numFmtId="0" fontId="14" fillId="6" borderId="46" xfId="0" applyFont="1" applyFill="1" applyBorder="1" applyAlignment="1">
      <alignment horizontal="center" vertical="center"/>
    </xf>
    <xf numFmtId="0" fontId="37" fillId="12" borderId="0" xfId="0" applyFont="1" applyFill="1" applyAlignment="1">
      <alignment horizontal="center"/>
    </xf>
    <xf numFmtId="0" fontId="39" fillId="12" borderId="0" xfId="0" applyFont="1" applyFill="1"/>
    <xf numFmtId="3" fontId="39" fillId="12" borderId="24" xfId="0" applyNumberFormat="1" applyFont="1" applyFill="1" applyBorder="1" applyAlignment="1">
      <alignment vertical="center"/>
    </xf>
    <xf numFmtId="0" fontId="39" fillId="12" borderId="23" xfId="0" applyFont="1" applyFill="1" applyBorder="1" applyAlignment="1">
      <alignment vertical="center"/>
    </xf>
    <xf numFmtId="0" fontId="39" fillId="12" borderId="29" xfId="0" applyFont="1" applyFill="1" applyBorder="1" applyAlignment="1">
      <alignment vertical="center"/>
    </xf>
    <xf numFmtId="0" fontId="14" fillId="6" borderId="14" xfId="0" applyFont="1" applyFill="1" applyBorder="1" applyAlignment="1">
      <alignment vertical="center"/>
    </xf>
    <xf numFmtId="0" fontId="14" fillId="6" borderId="4" xfId="0" applyFont="1" applyFill="1" applyBorder="1" applyAlignment="1">
      <alignment horizontal="center" vertical="center" wrapText="1"/>
    </xf>
    <xf numFmtId="0" fontId="14" fillId="6" borderId="14" xfId="0" applyFont="1" applyFill="1" applyBorder="1" applyAlignment="1">
      <alignment horizontal="center" vertical="center" wrapText="1"/>
    </xf>
    <xf numFmtId="0" fontId="39" fillId="12" borderId="15" xfId="0" applyFont="1" applyFill="1" applyBorder="1"/>
    <xf numFmtId="3" fontId="39" fillId="12" borderId="0" xfId="0" applyNumberFormat="1" applyFont="1" applyFill="1" applyAlignment="1">
      <alignment horizontal="center"/>
    </xf>
    <xf numFmtId="3" fontId="39" fillId="12" borderId="15" xfId="0" applyNumberFormat="1" applyFont="1" applyFill="1" applyBorder="1" applyAlignment="1">
      <alignment horizontal="center"/>
    </xf>
    <xf numFmtId="0" fontId="19" fillId="12" borderId="0" xfId="0" applyFont="1" applyFill="1" applyAlignment="1">
      <alignment vertical="center"/>
    </xf>
    <xf numFmtId="0" fontId="29" fillId="12" borderId="0" xfId="0" applyFont="1" applyFill="1" applyAlignment="1">
      <alignment horizontal="left" vertical="center"/>
    </xf>
    <xf numFmtId="0" fontId="19" fillId="12" borderId="0" xfId="0" applyFont="1" applyFill="1" applyAlignment="1">
      <alignment horizontal="left" vertical="center"/>
    </xf>
    <xf numFmtId="0" fontId="40" fillId="12" borderId="0" xfId="0" applyFont="1" applyFill="1" applyAlignment="1" applyProtection="1">
      <alignment horizontal="left" vertical="center" wrapText="1"/>
      <protection locked="0"/>
    </xf>
    <xf numFmtId="0" fontId="40" fillId="12" borderId="0" xfId="0" applyFont="1" applyFill="1" applyAlignment="1">
      <alignment vertical="center"/>
    </xf>
    <xf numFmtId="0" fontId="26" fillId="12" borderId="0" xfId="0" applyFont="1" applyFill="1" applyAlignment="1" applyProtection="1">
      <alignment vertical="center" wrapText="1"/>
      <protection locked="0"/>
    </xf>
    <xf numFmtId="0" fontId="26" fillId="12" borderId="0" xfId="0" applyFont="1" applyFill="1" applyAlignment="1">
      <alignment vertical="center" wrapText="1"/>
    </xf>
    <xf numFmtId="0" fontId="29" fillId="12" borderId="0" xfId="0" applyFont="1" applyFill="1" applyAlignment="1" applyProtection="1">
      <alignment horizontal="left" vertical="center" wrapText="1"/>
      <protection locked="0"/>
    </xf>
    <xf numFmtId="3" fontId="38" fillId="11" borderId="26" xfId="0" applyNumberFormat="1" applyFont="1" applyFill="1" applyBorder="1" applyAlignment="1">
      <alignment vertical="center"/>
    </xf>
    <xf numFmtId="0" fontId="38" fillId="11" borderId="25" xfId="0" applyFont="1" applyFill="1" applyBorder="1" applyAlignment="1">
      <alignment vertical="center"/>
    </xf>
    <xf numFmtId="0" fontId="38" fillId="11" borderId="16" xfId="0" applyFont="1" applyFill="1" applyBorder="1"/>
    <xf numFmtId="3" fontId="38" fillId="11" borderId="9" xfId="0" applyNumberFormat="1" applyFont="1" applyFill="1" applyBorder="1" applyAlignment="1">
      <alignment horizontal="center"/>
    </xf>
    <xf numFmtId="3" fontId="38" fillId="11" borderId="16" xfId="0" applyNumberFormat="1" applyFont="1" applyFill="1" applyBorder="1" applyAlignment="1">
      <alignment horizontal="center"/>
    </xf>
    <xf numFmtId="0" fontId="39" fillId="12" borderId="0" xfId="0" applyFont="1" applyFill="1" applyAlignment="1">
      <alignment vertical="center"/>
    </xf>
    <xf numFmtId="0" fontId="39" fillId="12" borderId="0" xfId="0" applyFont="1" applyFill="1" applyAlignment="1">
      <alignment horizontal="center" vertical="center"/>
    </xf>
    <xf numFmtId="0" fontId="39" fillId="12" borderId="27" xfId="8" applyFont="1" applyFill="1" applyAlignment="1">
      <alignment horizontal="center" vertical="center"/>
      <protection locked="0"/>
    </xf>
    <xf numFmtId="0" fontId="33" fillId="12" borderId="0" xfId="0" applyFont="1" applyFill="1" applyAlignment="1">
      <alignment vertical="center"/>
    </xf>
    <xf numFmtId="169" fontId="39" fillId="12" borderId="27" xfId="9" applyNumberFormat="1" applyFont="1" applyFill="1" applyBorder="1" applyAlignment="1" applyProtection="1">
      <alignment horizontal="center" vertical="center"/>
      <protection locked="0"/>
    </xf>
    <xf numFmtId="170" fontId="39" fillId="12" borderId="27" xfId="10" applyFont="1" applyFill="1" applyBorder="1" applyAlignment="1" applyProtection="1">
      <alignment horizontal="right" vertical="center"/>
      <protection locked="0"/>
    </xf>
    <xf numFmtId="0" fontId="39" fillId="12" borderId="0" xfId="11" applyFont="1" applyFill="1" applyBorder="1" applyAlignment="1">
      <alignment horizontal="right" vertical="center"/>
    </xf>
    <xf numFmtId="0" fontId="38" fillId="12" borderId="0" xfId="0" applyFont="1" applyFill="1" applyAlignment="1">
      <alignment vertical="center"/>
    </xf>
    <xf numFmtId="0" fontId="38" fillId="12" borderId="0" xfId="0" applyFont="1" applyFill="1" applyAlignment="1">
      <alignment horizontal="center" vertical="center"/>
    </xf>
    <xf numFmtId="170" fontId="38" fillId="12" borderId="28" xfId="10" applyFont="1" applyFill="1" applyBorder="1" applyAlignment="1">
      <alignment horizontal="right" vertical="center"/>
    </xf>
    <xf numFmtId="0" fontId="36" fillId="12" borderId="47" xfId="0" applyFont="1" applyFill="1" applyBorder="1" applyAlignment="1">
      <alignment vertical="center"/>
    </xf>
    <xf numFmtId="0" fontId="36" fillId="12" borderId="0" xfId="0" applyFont="1" applyFill="1" applyAlignment="1">
      <alignment horizontal="center" vertical="center"/>
    </xf>
    <xf numFmtId="0" fontId="19" fillId="12" borderId="0" xfId="0" applyFont="1" applyFill="1" applyAlignment="1">
      <alignment horizontal="center" vertical="center"/>
    </xf>
    <xf numFmtId="0" fontId="20" fillId="12" borderId="0" xfId="0" applyFont="1" applyFill="1" applyAlignment="1">
      <alignment horizontal="center" vertical="center"/>
    </xf>
    <xf numFmtId="0" fontId="34" fillId="12" borderId="0" xfId="0" applyFont="1" applyFill="1" applyAlignment="1">
      <alignment horizontal="center" vertical="center"/>
    </xf>
    <xf numFmtId="0" fontId="35" fillId="12" borderId="0" xfId="0" applyFont="1" applyFill="1" applyAlignment="1">
      <alignment horizontal="center" vertical="center"/>
    </xf>
    <xf numFmtId="3" fontId="12" fillId="15" borderId="13" xfId="0" applyNumberFormat="1" applyFont="1" applyFill="1" applyBorder="1"/>
    <xf numFmtId="9" fontId="12" fillId="14" borderId="10" xfId="0" applyNumberFormat="1" applyFont="1" applyFill="1" applyBorder="1" applyAlignment="1">
      <alignment vertical="center"/>
    </xf>
    <xf numFmtId="0" fontId="14" fillId="15" borderId="11" xfId="0" applyFont="1" applyFill="1" applyBorder="1" applyAlignment="1">
      <alignment vertical="center"/>
    </xf>
    <xf numFmtId="0" fontId="14" fillId="6" borderId="3" xfId="0" applyFont="1" applyFill="1" applyBorder="1"/>
    <xf numFmtId="0" fontId="13" fillId="6" borderId="5" xfId="0" applyFont="1" applyFill="1" applyBorder="1"/>
    <xf numFmtId="0" fontId="18" fillId="6" borderId="5" xfId="0" applyFont="1" applyFill="1" applyBorder="1"/>
    <xf numFmtId="0" fontId="18" fillId="6" borderId="5" xfId="2" applyFont="1" applyFill="1" applyBorder="1"/>
    <xf numFmtId="0" fontId="14" fillId="6" borderId="13" xfId="0" applyFont="1" applyFill="1" applyBorder="1" applyAlignment="1">
      <alignment horizontal="center" vertical="center"/>
    </xf>
    <xf numFmtId="0" fontId="14" fillId="6" borderId="11" xfId="0" applyFont="1" applyFill="1" applyBorder="1"/>
    <xf numFmtId="0" fontId="14" fillId="13" borderId="13" xfId="0" applyFont="1" applyFill="1" applyBorder="1" applyAlignment="1">
      <alignment horizontal="center" vertical="center"/>
    </xf>
    <xf numFmtId="0" fontId="13" fillId="6" borderId="13" xfId="0" applyFont="1" applyFill="1" applyBorder="1"/>
    <xf numFmtId="0" fontId="14" fillId="6" borderId="11" xfId="0" applyFont="1" applyFill="1" applyBorder="1" applyAlignment="1">
      <alignment vertical="center"/>
    </xf>
    <xf numFmtId="0" fontId="13" fillId="6" borderId="13" xfId="2" applyFont="1" applyFill="1" applyBorder="1"/>
    <xf numFmtId="0" fontId="14" fillId="6" borderId="61" xfId="0" applyFont="1" applyFill="1" applyBorder="1" applyAlignment="1">
      <alignment horizontal="center" vertical="center"/>
    </xf>
    <xf numFmtId="0" fontId="21" fillId="12" borderId="34" xfId="0" applyFont="1" applyFill="1" applyBorder="1"/>
    <xf numFmtId="170" fontId="21" fillId="12" borderId="62" xfId="8" applyNumberFormat="1" applyFont="1" applyFill="1" applyBorder="1">
      <alignment vertical="center"/>
      <protection locked="0"/>
    </xf>
    <xf numFmtId="170" fontId="21" fillId="12" borderId="68" xfId="8" applyNumberFormat="1" applyFont="1" applyFill="1" applyBorder="1">
      <alignment vertical="center"/>
      <protection locked="0"/>
    </xf>
    <xf numFmtId="0" fontId="14" fillId="6" borderId="69" xfId="0" applyFont="1" applyFill="1" applyBorder="1" applyAlignment="1">
      <alignment horizontal="center" vertical="center"/>
    </xf>
    <xf numFmtId="170" fontId="15" fillId="11" borderId="76" xfId="8" applyNumberFormat="1" applyFont="1" applyFill="1" applyBorder="1">
      <alignment vertical="center"/>
      <protection locked="0"/>
    </xf>
    <xf numFmtId="0" fontId="14" fillId="6" borderId="44" xfId="0" applyFont="1" applyFill="1" applyBorder="1" applyAlignment="1">
      <alignment horizontal="left" vertical="center"/>
    </xf>
    <xf numFmtId="170" fontId="21" fillId="12" borderId="77" xfId="8" applyNumberFormat="1" applyFont="1" applyFill="1" applyBorder="1">
      <alignment vertical="center"/>
      <protection locked="0"/>
    </xf>
    <xf numFmtId="0" fontId="14" fillId="6" borderId="41" xfId="0" applyFont="1" applyFill="1" applyBorder="1" applyAlignment="1">
      <alignment horizontal="left" vertical="center"/>
    </xf>
    <xf numFmtId="0" fontId="14" fillId="6" borderId="81" xfId="0" applyFont="1" applyFill="1" applyBorder="1" applyAlignment="1">
      <alignment horizontal="center" vertical="center"/>
    </xf>
    <xf numFmtId="0" fontId="39" fillId="12" borderId="84" xfId="0" applyFont="1" applyFill="1" applyBorder="1" applyAlignment="1">
      <alignment vertical="center"/>
    </xf>
    <xf numFmtId="3" fontId="39" fillId="12" borderId="85" xfId="0" applyNumberFormat="1" applyFont="1" applyFill="1" applyBorder="1" applyAlignment="1">
      <alignment vertical="center"/>
    </xf>
    <xf numFmtId="0" fontId="39" fillId="12" borderId="3" xfId="0" applyFont="1" applyFill="1" applyBorder="1"/>
    <xf numFmtId="3" fontId="39" fillId="12" borderId="5" xfId="2" applyNumberFormat="1" applyFont="1" applyFill="1" applyBorder="1"/>
    <xf numFmtId="0" fontId="39" fillId="12" borderId="6" xfId="0" applyFont="1" applyFill="1" applyBorder="1"/>
    <xf numFmtId="3" fontId="39" fillId="12" borderId="7" xfId="2" applyNumberFormat="1" applyFont="1" applyFill="1" applyBorder="1"/>
    <xf numFmtId="0" fontId="38" fillId="11" borderId="11" xfId="0" applyFont="1" applyFill="1" applyBorder="1"/>
    <xf numFmtId="3" fontId="38" fillId="11" borderId="13" xfId="0" applyNumberFormat="1" applyFont="1" applyFill="1" applyBorder="1"/>
    <xf numFmtId="0" fontId="38" fillId="12" borderId="2" xfId="0" applyFont="1" applyFill="1" applyBorder="1"/>
    <xf numFmtId="3" fontId="38" fillId="12" borderId="2" xfId="0" applyNumberFormat="1" applyFont="1" applyFill="1" applyBorder="1"/>
    <xf numFmtId="3" fontId="39" fillId="12" borderId="5" xfId="0" applyNumberFormat="1" applyFont="1" applyFill="1" applyBorder="1"/>
    <xf numFmtId="3" fontId="39" fillId="12" borderId="7" xfId="0" applyNumberFormat="1" applyFont="1" applyFill="1" applyBorder="1"/>
    <xf numFmtId="0" fontId="39" fillId="12" borderId="8" xfId="0" applyFont="1" applyFill="1" applyBorder="1"/>
    <xf numFmtId="3" fontId="39" fillId="12" borderId="10" xfId="0" applyNumberFormat="1" applyFont="1" applyFill="1" applyBorder="1"/>
    <xf numFmtId="0" fontId="38" fillId="11" borderId="8" xfId="0" applyFont="1" applyFill="1" applyBorder="1"/>
    <xf numFmtId="3" fontId="38" fillId="11" borderId="10" xfId="0" applyNumberFormat="1" applyFont="1" applyFill="1" applyBorder="1"/>
    <xf numFmtId="0" fontId="38" fillId="12" borderId="11" xfId="0" applyFont="1" applyFill="1" applyBorder="1" applyAlignment="1">
      <alignment vertical="center"/>
    </xf>
    <xf numFmtId="3" fontId="38" fillId="12" borderId="13" xfId="0" applyNumberFormat="1" applyFont="1" applyFill="1" applyBorder="1"/>
    <xf numFmtId="3" fontId="39" fillId="12" borderId="10" xfId="2" applyNumberFormat="1" applyFont="1" applyFill="1" applyBorder="1"/>
    <xf numFmtId="0" fontId="39" fillId="12" borderId="3" xfId="2" applyFont="1" applyFill="1" applyBorder="1"/>
    <xf numFmtId="3" fontId="38" fillId="12" borderId="5" xfId="2" applyNumberFormat="1" applyFont="1" applyFill="1" applyBorder="1"/>
    <xf numFmtId="0" fontId="39" fillId="12" borderId="6" xfId="2" applyFont="1" applyFill="1" applyBorder="1"/>
    <xf numFmtId="10" fontId="38" fillId="12" borderId="48" xfId="8" applyNumberFormat="1" applyFont="1" applyFill="1" applyBorder="1">
      <alignment vertical="center"/>
      <protection locked="0"/>
    </xf>
    <xf numFmtId="1" fontId="38" fillId="12" borderId="48" xfId="4" applyNumberFormat="1" applyFont="1" applyFill="1" applyBorder="1" applyAlignment="1" applyProtection="1">
      <alignment vertical="center"/>
      <protection locked="0"/>
    </xf>
    <xf numFmtId="0" fontId="39" fillId="12" borderId="8" xfId="2" applyFont="1" applyFill="1" applyBorder="1"/>
    <xf numFmtId="167" fontId="38" fillId="12" borderId="10" xfId="2" applyNumberFormat="1" applyFont="1" applyFill="1" applyBorder="1"/>
    <xf numFmtId="0" fontId="38" fillId="11" borderId="19" xfId="6" applyFont="1" applyFill="1" applyBorder="1"/>
    <xf numFmtId="3" fontId="38" fillId="12" borderId="20" xfId="6" applyNumberFormat="1" applyFont="1" applyFill="1" applyBorder="1"/>
    <xf numFmtId="0" fontId="38" fillId="11" borderId="21" xfId="6" applyFont="1" applyFill="1" applyBorder="1"/>
    <xf numFmtId="3" fontId="38" fillId="12" borderId="22" xfId="6" applyNumberFormat="1" applyFont="1" applyFill="1" applyBorder="1"/>
    <xf numFmtId="0" fontId="38" fillId="11" borderId="56" xfId="6" applyFont="1" applyFill="1" applyBorder="1"/>
    <xf numFmtId="3" fontId="38" fillId="12" borderId="57" xfId="6" applyNumberFormat="1" applyFont="1" applyFill="1" applyBorder="1"/>
    <xf numFmtId="0" fontId="42" fillId="16" borderId="58" xfId="5" applyFont="1" applyFill="1" applyBorder="1"/>
    <xf numFmtId="3" fontId="42" fillId="16" borderId="59" xfId="5" applyNumberFormat="1" applyFont="1" applyFill="1" applyBorder="1"/>
    <xf numFmtId="0" fontId="39" fillId="12" borderId="34" xfId="0" applyFont="1" applyFill="1" applyBorder="1" applyAlignment="1">
      <alignment vertical="center"/>
    </xf>
    <xf numFmtId="170" fontId="39" fillId="12" borderId="70" xfId="8" applyNumberFormat="1" applyFont="1" applyFill="1" applyBorder="1">
      <alignment vertical="center"/>
      <protection locked="0"/>
    </xf>
    <xf numFmtId="170" fontId="39" fillId="12" borderId="78" xfId="8" applyNumberFormat="1" applyFont="1" applyFill="1" applyBorder="1">
      <alignment vertical="center"/>
      <protection locked="0"/>
    </xf>
    <xf numFmtId="170" fontId="39" fillId="12" borderId="1" xfId="8" applyNumberFormat="1" applyFont="1" applyFill="1" applyBorder="1">
      <alignment vertical="center"/>
      <protection locked="0"/>
    </xf>
    <xf numFmtId="170" fontId="39" fillId="12" borderId="79" xfId="8" applyNumberFormat="1" applyFont="1" applyFill="1" applyBorder="1">
      <alignment vertical="center"/>
      <protection locked="0"/>
    </xf>
    <xf numFmtId="170" fontId="39" fillId="12" borderId="71" xfId="8" applyNumberFormat="1" applyFont="1" applyFill="1" applyBorder="1">
      <alignment vertical="center"/>
      <protection locked="0"/>
    </xf>
    <xf numFmtId="170" fontId="39" fillId="12" borderId="80" xfId="8" applyNumberFormat="1" applyFont="1" applyFill="1" applyBorder="1">
      <alignment vertical="center"/>
      <protection locked="0"/>
    </xf>
    <xf numFmtId="0" fontId="38" fillId="11" borderId="44" xfId="0" applyFont="1" applyFill="1" applyBorder="1"/>
    <xf numFmtId="0" fontId="38" fillId="11" borderId="45" xfId="0" applyFont="1" applyFill="1" applyBorder="1" applyAlignment="1">
      <alignment horizontal="center" vertical="center"/>
    </xf>
    <xf numFmtId="170" fontId="38" fillId="11" borderId="72" xfId="8" applyNumberFormat="1" applyFont="1" applyFill="1" applyBorder="1">
      <alignment vertical="center"/>
      <protection locked="0"/>
    </xf>
    <xf numFmtId="170" fontId="38" fillId="11" borderId="73" xfId="8" applyNumberFormat="1" applyFont="1" applyFill="1" applyBorder="1">
      <alignment vertical="center"/>
      <protection locked="0"/>
    </xf>
    <xf numFmtId="0" fontId="39" fillId="12" borderId="6" xfId="2" applyFont="1" applyFill="1" applyBorder="1" applyAlignment="1">
      <alignment wrapText="1"/>
    </xf>
    <xf numFmtId="9" fontId="38" fillId="12" borderId="7" xfId="4" applyFont="1" applyFill="1" applyBorder="1"/>
    <xf numFmtId="0" fontId="39" fillId="12" borderId="31" xfId="2" applyFont="1" applyFill="1" applyBorder="1"/>
    <xf numFmtId="0" fontId="38" fillId="11" borderId="52" xfId="6" applyFont="1" applyFill="1" applyBorder="1"/>
    <xf numFmtId="3" fontId="38" fillId="12" borderId="50" xfId="6" applyNumberFormat="1" applyFont="1" applyFill="1" applyBorder="1"/>
    <xf numFmtId="0" fontId="38" fillId="11" borderId="53" xfId="6" applyFont="1" applyFill="1" applyBorder="1" applyAlignment="1">
      <alignment vertical="center"/>
    </xf>
    <xf numFmtId="3" fontId="38" fillId="12" borderId="51" xfId="6" applyNumberFormat="1" applyFont="1" applyFill="1" applyBorder="1" applyAlignment="1">
      <alignment vertical="center"/>
    </xf>
    <xf numFmtId="0" fontId="38" fillId="11" borderId="54" xfId="6" applyFont="1" applyFill="1" applyBorder="1"/>
    <xf numFmtId="3" fontId="38" fillId="12" borderId="55" xfId="6" applyNumberFormat="1" applyFont="1" applyFill="1" applyBorder="1"/>
    <xf numFmtId="0" fontId="42" fillId="16" borderId="2" xfId="5" applyFont="1" applyFill="1" applyBorder="1"/>
    <xf numFmtId="3" fontId="42" fillId="16" borderId="13" xfId="5" applyNumberFormat="1" applyFont="1" applyFill="1" applyBorder="1"/>
    <xf numFmtId="170" fontId="39" fillId="12" borderId="67" xfId="8" applyNumberFormat="1" applyFont="1" applyFill="1" applyBorder="1">
      <alignment vertical="center"/>
      <protection locked="0"/>
    </xf>
    <xf numFmtId="170" fontId="39" fillId="12" borderId="32" xfId="8" applyNumberFormat="1" applyFont="1" applyFill="1" applyBorder="1">
      <alignment vertical="center"/>
      <protection locked="0"/>
    </xf>
    <xf numFmtId="170" fontId="39" fillId="12" borderId="74" xfId="8" applyNumberFormat="1" applyFont="1" applyFill="1" applyBorder="1">
      <alignment vertical="center"/>
      <protection locked="0"/>
    </xf>
    <xf numFmtId="170" fontId="38" fillId="11" borderId="75" xfId="8" applyNumberFormat="1" applyFont="1" applyFill="1" applyBorder="1">
      <alignment vertical="center"/>
      <protection locked="0"/>
    </xf>
    <xf numFmtId="10" fontId="38" fillId="12" borderId="27" xfId="8" applyNumberFormat="1" applyFont="1" applyFill="1">
      <alignment vertical="center"/>
      <protection locked="0"/>
    </xf>
    <xf numFmtId="0" fontId="38" fillId="11" borderId="53" xfId="6" applyFont="1" applyFill="1" applyBorder="1"/>
    <xf numFmtId="3" fontId="38" fillId="12" borderId="51" xfId="6" applyNumberFormat="1" applyFont="1" applyFill="1" applyBorder="1"/>
    <xf numFmtId="0" fontId="42" fillId="16" borderId="83" xfId="5" applyFont="1" applyFill="1" applyBorder="1"/>
    <xf numFmtId="4" fontId="42" fillId="16" borderId="46" xfId="5" applyNumberFormat="1" applyFont="1" applyFill="1" applyBorder="1"/>
    <xf numFmtId="0" fontId="38" fillId="12" borderId="11" xfId="0" applyFont="1" applyFill="1" applyBorder="1"/>
    <xf numFmtId="0" fontId="38" fillId="12" borderId="6" xfId="0" applyFont="1" applyFill="1" applyBorder="1"/>
    <xf numFmtId="9" fontId="38" fillId="12" borderId="7" xfId="2" applyNumberFormat="1" applyFont="1" applyFill="1" applyBorder="1"/>
    <xf numFmtId="3" fontId="38" fillId="12" borderId="7" xfId="2" applyNumberFormat="1" applyFont="1" applyFill="1" applyBorder="1"/>
    <xf numFmtId="170" fontId="39" fillId="12" borderId="68" xfId="8" applyNumberFormat="1" applyFont="1" applyFill="1" applyBorder="1">
      <alignment vertical="center"/>
      <protection locked="0"/>
    </xf>
    <xf numFmtId="170" fontId="39" fillId="12" borderId="62" xfId="8" applyNumberFormat="1" applyFont="1" applyFill="1" applyBorder="1">
      <alignment vertical="center"/>
      <protection locked="0"/>
    </xf>
    <xf numFmtId="0" fontId="38" fillId="11" borderId="63" xfId="0" applyFont="1" applyFill="1" applyBorder="1"/>
    <xf numFmtId="0" fontId="38" fillId="11" borderId="64" xfId="0" applyFont="1" applyFill="1" applyBorder="1" applyAlignment="1">
      <alignment horizontal="center" vertical="center"/>
    </xf>
    <xf numFmtId="170" fontId="38" fillId="11" borderId="65" xfId="8" applyNumberFormat="1" applyFont="1" applyFill="1" applyBorder="1">
      <alignment vertical="center"/>
      <protection locked="0"/>
    </xf>
    <xf numFmtId="170" fontId="38" fillId="11" borderId="66" xfId="8" applyNumberFormat="1" applyFont="1" applyFill="1" applyBorder="1">
      <alignment vertical="center"/>
      <protection locked="0"/>
    </xf>
    <xf numFmtId="0" fontId="39" fillId="12" borderId="34" xfId="0" applyFont="1" applyFill="1" applyBorder="1" applyAlignment="1">
      <alignment wrapText="1"/>
    </xf>
    <xf numFmtId="3" fontId="39" fillId="12" borderId="43" xfId="2" applyNumberFormat="1" applyFont="1" applyFill="1" applyBorder="1"/>
    <xf numFmtId="0" fontId="39" fillId="12" borderId="36" xfId="0" applyFont="1" applyFill="1" applyBorder="1" applyAlignment="1">
      <alignment wrapText="1"/>
    </xf>
    <xf numFmtId="3" fontId="39" fillId="12" borderId="37" xfId="2" applyNumberFormat="1" applyFont="1" applyFill="1" applyBorder="1"/>
    <xf numFmtId="0" fontId="38" fillId="11" borderId="38" xfId="0" applyFont="1" applyFill="1" applyBorder="1"/>
    <xf numFmtId="3" fontId="38" fillId="11" borderId="39" xfId="0" applyNumberFormat="1" applyFont="1" applyFill="1" applyBorder="1"/>
    <xf numFmtId="0" fontId="39" fillId="12" borderId="42" xfId="0" applyFont="1" applyFill="1" applyBorder="1"/>
    <xf numFmtId="3" fontId="39" fillId="12" borderId="35" xfId="0" applyNumberFormat="1" applyFont="1" applyFill="1" applyBorder="1"/>
    <xf numFmtId="0" fontId="39" fillId="12" borderId="36" xfId="0" applyFont="1" applyFill="1" applyBorder="1"/>
    <xf numFmtId="3" fontId="39" fillId="12" borderId="43" xfId="0" applyNumberFormat="1" applyFont="1" applyFill="1" applyBorder="1"/>
    <xf numFmtId="166" fontId="38" fillId="12" borderId="7" xfId="2" applyNumberFormat="1" applyFont="1" applyFill="1" applyBorder="1"/>
    <xf numFmtId="1" fontId="38" fillId="12" borderId="49" xfId="4" applyNumberFormat="1" applyFont="1" applyFill="1" applyBorder="1" applyAlignment="1" applyProtection="1">
      <alignment vertical="center"/>
      <protection locked="0"/>
    </xf>
    <xf numFmtId="170" fontId="39" fillId="11" borderId="65" xfId="8" applyNumberFormat="1" applyFont="1" applyFill="1" applyBorder="1">
      <alignment vertical="center"/>
      <protection locked="0"/>
    </xf>
    <xf numFmtId="170" fontId="39" fillId="11" borderId="66" xfId="8" applyNumberFormat="1" applyFont="1" applyFill="1" applyBorder="1">
      <alignment vertical="center"/>
      <protection locked="0"/>
    </xf>
    <xf numFmtId="0" fontId="39" fillId="12" borderId="3" xfId="0" applyFont="1" applyFill="1" applyBorder="1" applyAlignment="1">
      <alignment wrapText="1"/>
    </xf>
    <xf numFmtId="0" fontId="39" fillId="12" borderId="8" xfId="0" applyFont="1" applyFill="1" applyBorder="1" applyAlignment="1">
      <alignment wrapText="1"/>
    </xf>
    <xf numFmtId="10" fontId="38" fillId="12" borderId="49" xfId="8" applyNumberFormat="1" applyFont="1" applyFill="1" applyBorder="1">
      <alignment vertical="center"/>
      <protection locked="0"/>
    </xf>
    <xf numFmtId="0" fontId="38" fillId="12" borderId="88" xfId="0" applyFont="1" applyFill="1" applyBorder="1" applyAlignment="1">
      <alignment horizontal="center" vertical="center"/>
    </xf>
    <xf numFmtId="0" fontId="38" fillId="12" borderId="89" xfId="0" applyFont="1" applyFill="1" applyBorder="1" applyAlignment="1">
      <alignment horizontal="center" vertical="center"/>
    </xf>
    <xf numFmtId="0" fontId="14" fillId="6" borderId="90" xfId="0" applyFont="1" applyFill="1" applyBorder="1" applyAlignment="1">
      <alignment horizontal="center" wrapText="1"/>
    </xf>
    <xf numFmtId="0" fontId="14" fillId="6" borderId="46" xfId="0" applyFont="1" applyFill="1" applyBorder="1" applyAlignment="1">
      <alignment horizontal="center" wrapText="1"/>
    </xf>
    <xf numFmtId="170" fontId="39" fillId="12" borderId="91" xfId="10" applyFont="1" applyFill="1" applyBorder="1" applyAlignment="1">
      <alignment horizontal="right" vertical="center"/>
    </xf>
    <xf numFmtId="170" fontId="39" fillId="12" borderId="92" xfId="10" applyFont="1" applyFill="1" applyBorder="1" applyAlignment="1">
      <alignment horizontal="right" vertical="center"/>
    </xf>
    <xf numFmtId="170" fontId="39" fillId="12" borderId="95" xfId="10" applyFont="1" applyFill="1" applyBorder="1" applyAlignment="1">
      <alignment horizontal="right" vertical="center"/>
    </xf>
    <xf numFmtId="170" fontId="39" fillId="12" borderId="96" xfId="10" applyFont="1" applyFill="1" applyBorder="1" applyAlignment="1">
      <alignment horizontal="right" vertical="center"/>
    </xf>
    <xf numFmtId="0" fontId="38" fillId="12" borderId="34" xfId="0" applyFont="1" applyFill="1" applyBorder="1" applyAlignment="1">
      <alignment vertical="center"/>
    </xf>
    <xf numFmtId="0" fontId="18" fillId="12" borderId="34" xfId="0" applyFont="1" applyFill="1" applyBorder="1" applyAlignment="1">
      <alignment vertical="center"/>
    </xf>
    <xf numFmtId="0" fontId="39" fillId="12" borderId="0" xfId="11" applyFont="1" applyFill="1" applyBorder="1">
      <alignment vertical="center"/>
    </xf>
    <xf numFmtId="170" fontId="38" fillId="11" borderId="93" xfId="10" applyFont="1" applyFill="1" applyBorder="1" applyAlignment="1">
      <alignment horizontal="right" vertical="center"/>
    </xf>
    <xf numFmtId="170" fontId="38" fillId="11" borderId="94" xfId="10" applyFont="1" applyFill="1" applyBorder="1" applyAlignment="1">
      <alignment horizontal="right" vertical="center"/>
    </xf>
    <xf numFmtId="0" fontId="18" fillId="12" borderId="43" xfId="0" applyFont="1" applyFill="1" applyBorder="1"/>
    <xf numFmtId="170" fontId="39" fillId="12" borderId="82" xfId="10" applyFont="1" applyFill="1" applyBorder="1" applyAlignment="1" applyProtection="1">
      <alignment horizontal="right" vertical="center"/>
      <protection locked="0"/>
    </xf>
    <xf numFmtId="0" fontId="39" fillId="12" borderId="34" xfId="11" applyFont="1" applyFill="1" applyBorder="1">
      <alignment vertical="center"/>
    </xf>
    <xf numFmtId="0" fontId="42" fillId="12" borderId="34" xfId="0" applyFont="1" applyFill="1" applyBorder="1" applyAlignment="1">
      <alignment horizontal="left" vertical="center" indent="1"/>
    </xf>
    <xf numFmtId="0" fontId="38" fillId="11" borderId="63" xfId="0" applyFont="1" applyFill="1" applyBorder="1" applyAlignment="1">
      <alignment vertical="center"/>
    </xf>
    <xf numFmtId="0" fontId="14" fillId="17" borderId="8" xfId="0" applyFont="1" applyFill="1" applyBorder="1" applyAlignment="1">
      <alignment vertical="center"/>
    </xf>
    <xf numFmtId="0" fontId="26" fillId="12" borderId="100" xfId="0" applyFont="1" applyFill="1" applyBorder="1" applyAlignment="1">
      <alignment vertical="center"/>
    </xf>
    <xf numFmtId="164" fontId="38" fillId="12" borderId="0" xfId="4" applyNumberFormat="1" applyFont="1" applyFill="1" applyAlignment="1">
      <alignment horizontal="center" vertical="center"/>
    </xf>
    <xf numFmtId="0" fontId="44" fillId="12" borderId="87" xfId="0" applyFont="1" applyFill="1" applyBorder="1" applyAlignment="1">
      <alignment vertical="center"/>
    </xf>
    <xf numFmtId="3" fontId="38" fillId="12" borderId="102" xfId="6" applyNumberFormat="1" applyFont="1" applyFill="1" applyBorder="1"/>
    <xf numFmtId="3" fontId="38" fillId="12" borderId="103" xfId="6" applyNumberFormat="1" applyFont="1" applyFill="1" applyBorder="1"/>
    <xf numFmtId="3" fontId="38" fillId="12" borderId="104" xfId="6" applyNumberFormat="1" applyFont="1" applyFill="1" applyBorder="1"/>
    <xf numFmtId="0" fontId="38" fillId="11" borderId="105" xfId="6" applyFont="1" applyFill="1" applyBorder="1"/>
    <xf numFmtId="0" fontId="38" fillId="11" borderId="106" xfId="6" applyFont="1" applyFill="1" applyBorder="1"/>
    <xf numFmtId="0" fontId="38" fillId="11" borderId="107" xfId="6" applyFont="1" applyFill="1" applyBorder="1"/>
    <xf numFmtId="0" fontId="38" fillId="11" borderId="60" xfId="0" applyFont="1" applyFill="1" applyBorder="1" applyAlignment="1">
      <alignment vertical="center"/>
    </xf>
    <xf numFmtId="0" fontId="38" fillId="11" borderId="40" xfId="0" applyFont="1" applyFill="1" applyBorder="1" applyAlignment="1">
      <alignment horizontal="center" vertical="center"/>
    </xf>
    <xf numFmtId="170" fontId="38" fillId="11" borderId="108" xfId="10" applyFont="1" applyFill="1" applyBorder="1" applyAlignment="1">
      <alignment horizontal="right" vertical="center"/>
    </xf>
    <xf numFmtId="170" fontId="38" fillId="11" borderId="109" xfId="10" applyFont="1" applyFill="1" applyBorder="1" applyAlignment="1">
      <alignment horizontal="right" vertical="center"/>
    </xf>
    <xf numFmtId="0" fontId="38" fillId="11" borderId="11" xfId="0" applyFont="1" applyFill="1" applyBorder="1" applyAlignment="1">
      <alignment vertical="center"/>
    </xf>
    <xf numFmtId="0" fontId="38" fillId="11" borderId="12" xfId="0" applyFont="1" applyFill="1" applyBorder="1" applyAlignment="1">
      <alignment horizontal="center" vertical="center"/>
    </xf>
    <xf numFmtId="170" fontId="38" fillId="11" borderId="12" xfId="10" applyFont="1" applyFill="1" applyBorder="1" applyAlignment="1">
      <alignment horizontal="right" vertical="center"/>
    </xf>
    <xf numFmtId="0" fontId="31" fillId="12" borderId="0" xfId="0" applyFont="1" applyFill="1" applyAlignment="1" applyProtection="1">
      <alignment horizontal="left" vertical="center" wrapText="1"/>
      <protection locked="0"/>
    </xf>
    <xf numFmtId="0" fontId="31" fillId="12" borderId="18" xfId="0" applyFont="1" applyFill="1" applyBorder="1" applyAlignment="1" applyProtection="1">
      <alignment horizontal="left" vertical="center" wrapText="1"/>
      <protection locked="0"/>
    </xf>
    <xf numFmtId="0" fontId="32" fillId="12" borderId="0" xfId="0" applyFont="1" applyFill="1" applyAlignment="1" applyProtection="1">
      <alignment horizontal="left" vertical="top" wrapText="1"/>
      <protection locked="0"/>
    </xf>
    <xf numFmtId="0" fontId="45" fillId="12" borderId="0" xfId="0" applyFont="1" applyFill="1" applyAlignment="1" applyProtection="1">
      <alignment vertical="center" wrapText="1"/>
      <protection locked="0"/>
    </xf>
    <xf numFmtId="0" fontId="45" fillId="12" borderId="0" xfId="0" applyFont="1" applyFill="1" applyAlignment="1">
      <alignment vertical="center" wrapText="1"/>
    </xf>
    <xf numFmtId="0" fontId="47" fillId="0" borderId="0" xfId="0" applyFont="1" applyAlignment="1">
      <alignment vertical="center"/>
    </xf>
    <xf numFmtId="0" fontId="43" fillId="12" borderId="0" xfId="0" applyFont="1" applyFill="1" applyAlignment="1" applyProtection="1">
      <alignment horizontal="left" vertical="center" wrapText="1"/>
      <protection locked="0"/>
    </xf>
    <xf numFmtId="0" fontId="40" fillId="12" borderId="0" xfId="0" applyFont="1" applyFill="1" applyAlignment="1" applyProtection="1">
      <alignment horizontal="left" vertical="center" wrapText="1"/>
      <protection locked="0"/>
    </xf>
    <xf numFmtId="0" fontId="41" fillId="0" borderId="0" xfId="0" applyFont="1" applyAlignment="1">
      <alignment vertical="center"/>
    </xf>
    <xf numFmtId="0" fontId="0" fillId="0" borderId="0" xfId="0" applyAlignment="1">
      <alignment vertical="center"/>
    </xf>
    <xf numFmtId="0" fontId="36" fillId="12" borderId="87" xfId="0" applyFont="1" applyFill="1" applyBorder="1" applyAlignment="1">
      <alignment vertical="center"/>
    </xf>
    <xf numFmtId="0" fontId="0" fillId="0" borderId="89" xfId="0" applyBorder="1" applyAlignment="1">
      <alignment vertical="center"/>
    </xf>
    <xf numFmtId="0" fontId="46" fillId="0" borderId="0" xfId="0" applyFont="1" applyAlignment="1">
      <alignment vertical="center"/>
    </xf>
    <xf numFmtId="0" fontId="0" fillId="0" borderId="88" xfId="0" applyBorder="1" applyAlignment="1">
      <alignment vertical="center"/>
    </xf>
    <xf numFmtId="0" fontId="36" fillId="12" borderId="89" xfId="0" applyFont="1" applyFill="1" applyBorder="1" applyAlignment="1">
      <alignment vertical="center"/>
    </xf>
    <xf numFmtId="0" fontId="36" fillId="12" borderId="101" xfId="0" applyFont="1" applyFill="1" applyBorder="1" applyAlignment="1">
      <alignment vertical="center"/>
    </xf>
    <xf numFmtId="169" fontId="39" fillId="12" borderId="97" xfId="9" applyNumberFormat="1" applyFont="1" applyFill="1" applyBorder="1" applyAlignment="1" applyProtection="1">
      <alignment horizontal="center" vertical="center"/>
      <protection locked="0"/>
    </xf>
    <xf numFmtId="0" fontId="0" fillId="0" borderId="98" xfId="0" applyBorder="1" applyAlignment="1">
      <alignment horizontal="center" vertical="center"/>
    </xf>
    <xf numFmtId="0" fontId="0" fillId="0" borderId="99" xfId="0" applyBorder="1" applyAlignment="1">
      <alignment horizontal="center" vertical="center"/>
    </xf>
    <xf numFmtId="0" fontId="48" fillId="6" borderId="86" xfId="0" applyFont="1" applyFill="1" applyBorder="1" applyAlignment="1">
      <alignment horizontal="center" vertical="center"/>
    </xf>
    <xf numFmtId="0" fontId="49" fillId="6" borderId="73" xfId="0" applyFont="1" applyFill="1" applyBorder="1" applyAlignment="1">
      <alignment horizontal="center" vertical="center"/>
    </xf>
    <xf numFmtId="0" fontId="36" fillId="12" borderId="6" xfId="0" applyFont="1" applyFill="1" applyBorder="1" applyAlignment="1">
      <alignment horizontal="center" vertical="center"/>
    </xf>
    <xf numFmtId="0" fontId="37" fillId="12" borderId="0" xfId="0" applyFont="1" applyFill="1" applyAlignment="1">
      <alignment horizontal="center"/>
    </xf>
    <xf numFmtId="0" fontId="8" fillId="12" borderId="6" xfId="0" applyFont="1" applyFill="1" applyBorder="1" applyAlignment="1">
      <alignment horizontal="center" vertical="center"/>
    </xf>
    <xf numFmtId="0" fontId="0" fillId="12" borderId="0" xfId="0" applyFill="1" applyAlignment="1">
      <alignment horizontal="center"/>
    </xf>
    <xf numFmtId="0" fontId="8" fillId="12" borderId="0" xfId="0" applyFont="1" applyFill="1" applyAlignment="1">
      <alignment horizontal="center" vertical="center"/>
    </xf>
    <xf numFmtId="0" fontId="14" fillId="12" borderId="0" xfId="0" applyFont="1" applyFill="1" applyAlignment="1">
      <alignment horizontal="center" vertical="center"/>
    </xf>
    <xf numFmtId="0" fontId="0" fillId="12" borderId="0" xfId="0" applyFill="1" applyAlignment="1">
      <alignment horizontal="center" vertical="center"/>
    </xf>
    <xf numFmtId="0" fontId="19" fillId="12" borderId="0" xfId="0" applyFont="1" applyFill="1" applyAlignment="1">
      <alignment horizontal="center" vertical="center"/>
    </xf>
    <xf numFmtId="0" fontId="20" fillId="12" borderId="0" xfId="0" applyFont="1" applyFill="1" applyAlignment="1">
      <alignment horizontal="center" vertical="center"/>
    </xf>
    <xf numFmtId="0" fontId="34" fillId="12" borderId="0" xfId="0" applyFont="1" applyFill="1" applyAlignment="1">
      <alignment horizontal="center" vertical="center"/>
    </xf>
    <xf numFmtId="0" fontId="35" fillId="12" borderId="0" xfId="0" applyFont="1" applyFill="1" applyAlignment="1">
      <alignment horizontal="center" vertical="center"/>
    </xf>
  </cellXfs>
  <cellStyles count="18">
    <cellStyle name="Column label (no wrap)" xfId="7" xr:uid="{E5177A64-8DF2-47F3-B583-A94C6A009293}"/>
    <cellStyle name="Dobro" xfId="5" builtinId="26"/>
    <cellStyle name="H4" xfId="12" xr:uid="{D3D3D19F-72ED-493B-91D1-FA311F4D9D2F}"/>
    <cellStyle name="Highlight" xfId="16" xr:uid="{EAF38F5B-E202-4306-BDEF-FD11CCDD3555}"/>
    <cellStyle name="Input calculation" xfId="13" xr:uid="{9649B4A1-4C08-40BF-AFE9-9EB77561AE47}"/>
    <cellStyle name="Input data" xfId="17" xr:uid="{3D7F542C-9520-4A12-89EA-07FBC0126576}"/>
    <cellStyle name="Input link" xfId="15" xr:uid="{5F477B0C-9E63-414C-A240-DB1BB205E68F}"/>
    <cellStyle name="Input parameter" xfId="8" xr:uid="{7D0C423A-BABC-4295-874A-2EF0C8BD8F5C}"/>
    <cellStyle name="Izračun" xfId="6" builtinId="22"/>
    <cellStyle name="Normal 2" xfId="2" xr:uid="{00000000-0005-0000-0000-000001000000}"/>
    <cellStyle name="Normal 3" xfId="1" xr:uid="{00000000-0005-0000-0000-000002000000}"/>
    <cellStyle name="Normal 4" xfId="3" xr:uid="{8A7B30F3-2504-4769-B335-3227E738C98D}"/>
    <cellStyle name="Normalno" xfId="0" builtinId="0"/>
    <cellStyle name="Number" xfId="10" xr:uid="{666A5465-3BDA-465C-92D6-EC368D8B7280}"/>
    <cellStyle name="Percentage" xfId="14" xr:uid="{1D3130D4-67A8-4797-AD7F-89F32B8A8007}"/>
    <cellStyle name="Percentage (2dp)" xfId="9" xr:uid="{2802EA41-9F89-4C37-9AEF-CF31B14848E3}"/>
    <cellStyle name="Postotak" xfId="4" builtinId="5"/>
    <cellStyle name="Table shading" xfId="11" xr:uid="{C0FF50BC-12E3-4A57-A3FA-FDE3E34DFCBA}"/>
  </cellStyles>
  <dxfs count="2">
    <dxf>
      <font>
        <color rgb="FFE0E0E0"/>
      </font>
      <fill>
        <patternFill>
          <bgColor rgb="FFE0E0E0"/>
        </patternFill>
      </fill>
    </dxf>
    <dxf>
      <font>
        <color rgb="FFE0E0E0"/>
      </font>
      <fill>
        <patternFill>
          <bgColor rgb="FFE0E0E0"/>
        </patternFill>
      </fill>
    </dxf>
  </dxfs>
  <tableStyles count="1" defaultTableStyle="TableStyleMedium2" defaultPivotStyle="PivotStyleLight16">
    <tableStyle name="Tabellenformat 1" pivot="0" count="0" xr9:uid="{DC373FD4-2893-49B1-AA46-D5E0FB1A2C48}"/>
  </tableStyles>
  <colors>
    <mruColors>
      <color rgb="FFCEE8E7"/>
      <color rgb="FFE5F3F2"/>
      <color rgb="FF31869B"/>
      <color rgb="FF06C6BD"/>
      <color rgb="FFDA9694"/>
      <color rgb="FFFFFBFB"/>
      <color rgb="FFFFE7E7"/>
      <color rgb="FFDAEEED"/>
      <color rgb="FF4DA19D"/>
      <color rgb="FF6CB8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2.5569617985980356E-2"/>
          <c:y val="4.4150110375275942E-2"/>
          <c:w val="0.96817505076579669"/>
          <c:h val="0.80187585823295271"/>
        </c:manualLayout>
      </c:layout>
      <c:barChart>
        <c:barDir val="col"/>
        <c:grouping val="clustered"/>
        <c:varyColors val="0"/>
        <c:ser>
          <c:idx val="0"/>
          <c:order val="0"/>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5">
                        <a:lumMod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Dashboard!#REF!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Dashboard!#REF!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Dashboard!#REF!</c15:sqref>
                        </c15:formulaRef>
                      </c:ext>
                    </c:extLst>
                    <c:strCache>
                      <c:ptCount val="1"/>
                      <c:pt idx="0">
                        <c:v>#REF!</c:v>
                      </c:pt>
                    </c:strCache>
                  </c:strRef>
                </c15:cat>
              </c15:filteredCategoryTitle>
            </c:ext>
            <c:ext xmlns:c16="http://schemas.microsoft.com/office/drawing/2014/chart" uri="{C3380CC4-5D6E-409C-BE32-E72D297353CC}">
              <c16:uniqueId val="{00000000-6FBA-486D-B9DC-F8F54E97EA26}"/>
            </c:ext>
          </c:extLst>
        </c:ser>
        <c:dLbls>
          <c:showLegendKey val="0"/>
          <c:showVal val="1"/>
          <c:showCatName val="0"/>
          <c:showSerName val="0"/>
          <c:showPercent val="0"/>
          <c:showBubbleSize val="0"/>
        </c:dLbls>
        <c:gapWidth val="100"/>
        <c:overlap val="-24"/>
        <c:axId val="1827438223"/>
        <c:axId val="1827430063"/>
      </c:barChart>
      <c:catAx>
        <c:axId val="18274382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5">
                    <a:lumMod val="50000"/>
                  </a:schemeClr>
                </a:solidFill>
                <a:latin typeface="+mn-lt"/>
                <a:ea typeface="+mn-ea"/>
                <a:cs typeface="+mn-cs"/>
              </a:defRPr>
            </a:pPr>
            <a:endParaRPr lang="en-US"/>
          </a:p>
        </c:txPr>
        <c:crossAx val="1827430063"/>
        <c:crosses val="autoZero"/>
        <c:auto val="1"/>
        <c:lblAlgn val="ctr"/>
        <c:lblOffset val="100"/>
        <c:noMultiLvlLbl val="0"/>
      </c:catAx>
      <c:valAx>
        <c:axId val="182743006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5">
                    <a:lumMod val="50000"/>
                  </a:schemeClr>
                </a:solidFill>
                <a:latin typeface="+mn-lt"/>
                <a:ea typeface="+mn-ea"/>
                <a:cs typeface="+mn-cs"/>
              </a:defRPr>
            </a:pPr>
            <a:endParaRPr lang="en-US"/>
          </a:p>
        </c:txPr>
        <c:crossAx val="18274382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accent5">
                  <a:lumMod val="50000"/>
                </a:schemeClr>
              </a:solidFill>
              <a:latin typeface="+mn-lt"/>
              <a:ea typeface="+mn-ea"/>
              <a:cs typeface="+mn-cs"/>
            </a:defRPr>
          </a:pPr>
          <a:endParaRPr lang="en-US"/>
        </a:p>
      </c:txPr>
    </c:legend>
    <c:plotVisOnly val="1"/>
    <c:dispBlanksAs val="gap"/>
    <c:showDLblsOverMax val="0"/>
  </c:chart>
  <c:spPr>
    <a:solidFill>
      <a:srgbClr val="CEE8E7"/>
    </a:solidFill>
    <a:ln w="9525" cap="flat" cmpd="sng" algn="ctr">
      <a:solidFill>
        <a:schemeClr val="accent5">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3.0823948527224872E-2"/>
          <c:y val="4.3070464760220528E-2"/>
          <c:w val="0.96147956258210443"/>
          <c:h val="0.82429161880203061"/>
        </c:manualLayout>
      </c:layout>
      <c:barChart>
        <c:barDir val="col"/>
        <c:grouping val="clustered"/>
        <c:varyColors val="0"/>
        <c:ser>
          <c:idx val="0"/>
          <c:order val="0"/>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5">
                        <a:lumMod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Dashboard!#REF!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Dashboard!#REF!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Dashboard!#REF!</c15:sqref>
                        </c15:formulaRef>
                      </c:ext>
                    </c:extLst>
                    <c:strCache>
                      <c:ptCount val="1"/>
                      <c:pt idx="0">
                        <c:v>#REF!</c:v>
                      </c:pt>
                    </c:strCache>
                  </c:strRef>
                </c15:cat>
              </c15:filteredCategoryTitle>
            </c:ext>
            <c:ext xmlns:c16="http://schemas.microsoft.com/office/drawing/2014/chart" uri="{C3380CC4-5D6E-409C-BE32-E72D297353CC}">
              <c16:uniqueId val="{00000000-6550-4911-BC2E-3E52C8F589CD}"/>
            </c:ext>
          </c:extLst>
        </c:ser>
        <c:dLbls>
          <c:showLegendKey val="0"/>
          <c:showVal val="1"/>
          <c:showCatName val="0"/>
          <c:showSerName val="0"/>
          <c:showPercent val="0"/>
          <c:showBubbleSize val="0"/>
        </c:dLbls>
        <c:gapWidth val="100"/>
        <c:overlap val="-24"/>
        <c:axId val="1827434383"/>
        <c:axId val="1827436783"/>
      </c:barChart>
      <c:catAx>
        <c:axId val="1827434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5">
                    <a:lumMod val="50000"/>
                  </a:schemeClr>
                </a:solidFill>
                <a:latin typeface="+mn-lt"/>
                <a:ea typeface="+mn-ea"/>
                <a:cs typeface="+mn-cs"/>
              </a:defRPr>
            </a:pPr>
            <a:endParaRPr lang="en-US"/>
          </a:p>
        </c:txPr>
        <c:crossAx val="1827436783"/>
        <c:crosses val="autoZero"/>
        <c:auto val="1"/>
        <c:lblAlgn val="ctr"/>
        <c:lblOffset val="100"/>
        <c:noMultiLvlLbl val="0"/>
      </c:catAx>
      <c:valAx>
        <c:axId val="182743678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5">
                    <a:lumMod val="50000"/>
                  </a:schemeClr>
                </a:solidFill>
                <a:latin typeface="+mn-lt"/>
                <a:ea typeface="+mn-ea"/>
                <a:cs typeface="+mn-cs"/>
              </a:defRPr>
            </a:pPr>
            <a:endParaRPr lang="en-US"/>
          </a:p>
        </c:txPr>
        <c:crossAx val="1827434383"/>
        <c:crosses val="autoZero"/>
        <c:crossBetween val="between"/>
      </c:valAx>
      <c:spPr>
        <a:solidFill>
          <a:srgbClr val="CEE8E7"/>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accent5">
                  <a:lumMod val="50000"/>
                </a:schemeClr>
              </a:solidFill>
              <a:latin typeface="+mn-lt"/>
              <a:ea typeface="+mn-ea"/>
              <a:cs typeface="+mn-cs"/>
            </a:defRPr>
          </a:pPr>
          <a:endParaRPr lang="en-US"/>
        </a:p>
      </c:txPr>
    </c:legend>
    <c:plotVisOnly val="1"/>
    <c:dispBlanksAs val="gap"/>
    <c:showDLblsOverMax val="0"/>
  </c:chart>
  <c:spPr>
    <a:solidFill>
      <a:srgbClr val="CEE8E7"/>
    </a:solidFill>
    <a:ln w="9525" cap="flat" cmpd="sng" algn="ctr">
      <a:solidFill>
        <a:schemeClr val="accent5">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2.5569617985980356E-2"/>
          <c:y val="4.4150110375275942E-2"/>
          <c:w val="0.96817505076579669"/>
          <c:h val="0.80187585823295271"/>
        </c:manualLayout>
      </c:layout>
      <c:barChart>
        <c:barDir val="col"/>
        <c:grouping val="clustered"/>
        <c:varyColors val="0"/>
        <c:ser>
          <c:idx val="0"/>
          <c:order val="0"/>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5">
                        <a:lumMod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Dashboard!#REF!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Dashboard!#REF!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Dashboard!#REF!</c15:sqref>
                        </c15:formulaRef>
                      </c:ext>
                    </c:extLst>
                    <c:strCache>
                      <c:ptCount val="1"/>
                      <c:pt idx="0">
                        <c:v>#REF!</c:v>
                      </c:pt>
                    </c:strCache>
                  </c:strRef>
                </c15:cat>
              </c15:filteredCategoryTitle>
            </c:ext>
            <c:ext xmlns:c16="http://schemas.microsoft.com/office/drawing/2014/chart" uri="{C3380CC4-5D6E-409C-BE32-E72D297353CC}">
              <c16:uniqueId val="{00000000-ACFE-4931-B539-1FA4983F525B}"/>
            </c:ext>
          </c:extLst>
        </c:ser>
        <c:dLbls>
          <c:showLegendKey val="0"/>
          <c:showVal val="1"/>
          <c:showCatName val="0"/>
          <c:showSerName val="0"/>
          <c:showPercent val="0"/>
          <c:showBubbleSize val="0"/>
        </c:dLbls>
        <c:gapWidth val="100"/>
        <c:overlap val="-24"/>
        <c:axId val="1827438223"/>
        <c:axId val="1827430063"/>
      </c:barChart>
      <c:catAx>
        <c:axId val="18274382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5">
                    <a:lumMod val="50000"/>
                  </a:schemeClr>
                </a:solidFill>
                <a:latin typeface="+mn-lt"/>
                <a:ea typeface="+mn-ea"/>
                <a:cs typeface="+mn-cs"/>
              </a:defRPr>
            </a:pPr>
            <a:endParaRPr lang="en-US"/>
          </a:p>
        </c:txPr>
        <c:crossAx val="1827430063"/>
        <c:crosses val="autoZero"/>
        <c:auto val="1"/>
        <c:lblAlgn val="ctr"/>
        <c:lblOffset val="100"/>
        <c:noMultiLvlLbl val="0"/>
      </c:catAx>
      <c:valAx>
        <c:axId val="182743006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5">
                    <a:lumMod val="50000"/>
                  </a:schemeClr>
                </a:solidFill>
                <a:latin typeface="+mn-lt"/>
                <a:ea typeface="+mn-ea"/>
                <a:cs typeface="+mn-cs"/>
              </a:defRPr>
            </a:pPr>
            <a:endParaRPr lang="en-US"/>
          </a:p>
        </c:txPr>
        <c:crossAx val="18274382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accent5">
                  <a:lumMod val="50000"/>
                </a:schemeClr>
              </a:solidFill>
              <a:latin typeface="+mn-lt"/>
              <a:ea typeface="+mn-ea"/>
              <a:cs typeface="+mn-cs"/>
            </a:defRPr>
          </a:pPr>
          <a:endParaRPr lang="en-US"/>
        </a:p>
      </c:txPr>
    </c:legend>
    <c:plotVisOnly val="1"/>
    <c:dispBlanksAs val="gap"/>
    <c:showDLblsOverMax val="0"/>
  </c:chart>
  <c:spPr>
    <a:solidFill>
      <a:srgbClr val="CEE8E7"/>
    </a:solidFill>
    <a:ln w="9525" cap="flat" cmpd="sng" algn="ctr">
      <a:solidFill>
        <a:schemeClr val="accent5">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accent5">
                    <a:lumMod val="50000"/>
                  </a:schemeClr>
                </a:solidFill>
                <a:latin typeface="+mn-lt"/>
                <a:ea typeface="+mn-ea"/>
                <a:cs typeface="+mn-cs"/>
              </a:defRPr>
            </a:pPr>
            <a:r>
              <a:rPr lang="hr-HR">
                <a:solidFill>
                  <a:schemeClr val="accent5">
                    <a:lumMod val="50000"/>
                  </a:schemeClr>
                </a:solidFill>
              </a:rPr>
              <a:t>Comparison of the costs of financing with different options</a:t>
            </a:r>
            <a:endParaRPr lang="en-US">
              <a:solidFill>
                <a:schemeClr val="accent5">
                  <a:lumMod val="50000"/>
                </a:schemeClr>
              </a:solidFill>
            </a:endParaRPr>
          </a:p>
        </c:rich>
      </c:tx>
      <c:overlay val="0"/>
      <c:spPr>
        <a:noFill/>
        <a:ln>
          <a:noFill/>
        </a:ln>
        <a:effectLst/>
      </c:spPr>
      <c:txPr>
        <a:bodyPr rot="0" spcFirstLastPara="1" vertOverflow="ellipsis" vert="horz" wrap="square" anchor="ctr" anchorCtr="1"/>
        <a:lstStyle/>
        <a:p>
          <a:pPr>
            <a:defRPr sz="1600" b="1" i="0" u="none" strike="noStrike" kern="1200" baseline="0">
              <a:solidFill>
                <a:schemeClr val="accent5">
                  <a:lumMod val="50000"/>
                </a:schemeClr>
              </a:solidFill>
              <a:latin typeface="+mn-lt"/>
              <a:ea typeface="+mn-ea"/>
              <a:cs typeface="+mn-cs"/>
            </a:defRPr>
          </a:pPr>
          <a:endParaRPr lang="en-US"/>
        </a:p>
      </c:txPr>
    </c:title>
    <c:autoTitleDeleted val="0"/>
    <c:plotArea>
      <c:layout>
        <c:manualLayout>
          <c:layoutTarget val="inner"/>
          <c:xMode val="edge"/>
          <c:yMode val="edge"/>
          <c:x val="5.7275459423333563E-2"/>
          <c:y val="9.8553995911635897E-2"/>
          <c:w val="0.9330549193034996"/>
          <c:h val="0.78657840281320912"/>
        </c:manualLayout>
      </c:layout>
      <c:barChart>
        <c:barDir val="col"/>
        <c:grouping val="stacked"/>
        <c:varyColors val="0"/>
        <c:ser>
          <c:idx val="0"/>
          <c:order val="0"/>
          <c:tx>
            <c:strRef>
              <c:f>Dashboard!$B$25</c:f>
              <c:strCache>
                <c:ptCount val="1"/>
                <c:pt idx="0">
                  <c:v>CAPEX/Principal (EUR)</c:v>
                </c:pt>
              </c:strCache>
            </c:strRef>
          </c:tx>
          <c:spPr>
            <a:solidFill>
              <a:srgbClr val="31869B"/>
            </a:solidFill>
            <a:ln>
              <a:noFill/>
            </a:ln>
            <a:effectLst>
              <a:outerShdw blurRad="40000" dist="23000" dir="5400000" rotWithShape="0">
                <a:srgbClr val="000000">
                  <a:alpha val="35000"/>
                </a:srgbClr>
              </a:outerShdw>
            </a:effectLst>
          </c:spPr>
          <c:invertIfNegative val="0"/>
          <c:cat>
            <c:strRef>
              <c:f>Dashboard!$C$24:$J$24</c:f>
              <c:strCache>
                <c:ptCount val="8"/>
                <c:pt idx="0">
                  <c:v>Own funds</c:v>
                </c:pt>
                <c:pt idx="1">
                  <c:v>Own funds + grant</c:v>
                </c:pt>
                <c:pt idx="2">
                  <c:v>Standard loan</c:v>
                </c:pt>
                <c:pt idx="3">
                  <c:v>Standard loan + grant</c:v>
                </c:pt>
                <c:pt idx="4">
                  <c:v>Green loan</c:v>
                </c:pt>
                <c:pt idx="5">
                  <c:v>Capital rebate loan</c:v>
                </c:pt>
                <c:pt idx="6">
                  <c:v>BONDS (Standard II)</c:v>
                </c:pt>
                <c:pt idx="7">
                  <c:v>BONDS (EuGBS - SLB)</c:v>
                </c:pt>
              </c:strCache>
            </c:strRef>
          </c:cat>
          <c:val>
            <c:numRef>
              <c:f>Dashboard!$C$25:$J$25</c:f>
              <c:numCache>
                <c:formatCode>#,##0</c:formatCode>
                <c:ptCount val="8"/>
                <c:pt idx="0">
                  <c:v>1769092.5</c:v>
                </c:pt>
                <c:pt idx="1">
                  <c:v>909546.25</c:v>
                </c:pt>
                <c:pt idx="2">
                  <c:v>1769092.5</c:v>
                </c:pt>
                <c:pt idx="3">
                  <c:v>909546.25</c:v>
                </c:pt>
                <c:pt idx="4">
                  <c:v>1769092.5</c:v>
                </c:pt>
                <c:pt idx="5">
                  <c:v>909546.25</c:v>
                </c:pt>
                <c:pt idx="6">
                  <c:v>1769092.5</c:v>
                </c:pt>
                <c:pt idx="7">
                  <c:v>1769092.5</c:v>
                </c:pt>
              </c:numCache>
            </c:numRef>
          </c:val>
          <c:extLst>
            <c:ext xmlns:c16="http://schemas.microsoft.com/office/drawing/2014/chart" uri="{C3380CC4-5D6E-409C-BE32-E72D297353CC}">
              <c16:uniqueId val="{00000000-AD86-4BCA-AA03-A59019E44D2B}"/>
            </c:ext>
          </c:extLst>
        </c:ser>
        <c:ser>
          <c:idx val="1"/>
          <c:order val="1"/>
          <c:tx>
            <c:strRef>
              <c:f>Dashboard!$B$26</c:f>
              <c:strCache>
                <c:ptCount val="1"/>
                <c:pt idx="0">
                  <c:v>Interests (EUR)</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c:spPr>
          <c:invertIfNegative val="0"/>
          <c:cat>
            <c:strRef>
              <c:f>Dashboard!$C$24:$J$24</c:f>
              <c:strCache>
                <c:ptCount val="8"/>
                <c:pt idx="0">
                  <c:v>Own funds</c:v>
                </c:pt>
                <c:pt idx="1">
                  <c:v>Own funds + grant</c:v>
                </c:pt>
                <c:pt idx="2">
                  <c:v>Standard loan</c:v>
                </c:pt>
                <c:pt idx="3">
                  <c:v>Standard loan + grant</c:v>
                </c:pt>
                <c:pt idx="4">
                  <c:v>Green loan</c:v>
                </c:pt>
                <c:pt idx="5">
                  <c:v>Capital rebate loan</c:v>
                </c:pt>
                <c:pt idx="6">
                  <c:v>BONDS (Standard II)</c:v>
                </c:pt>
                <c:pt idx="7">
                  <c:v>BONDS (EuGBS - SLB)</c:v>
                </c:pt>
              </c:strCache>
            </c:strRef>
          </c:cat>
          <c:val>
            <c:numRef>
              <c:f>Dashboard!$C$26:$J$26</c:f>
              <c:numCache>
                <c:formatCode>#,##0</c:formatCode>
                <c:ptCount val="8"/>
                <c:pt idx="0">
                  <c:v>0</c:v>
                </c:pt>
                <c:pt idx="1">
                  <c:v>0</c:v>
                </c:pt>
                <c:pt idx="2">
                  <c:v>521963.22287077131</c:v>
                </c:pt>
                <c:pt idx="3">
                  <c:v>268357.75517674978</c:v>
                </c:pt>
                <c:pt idx="4">
                  <c:v>466665.75702678692</c:v>
                </c:pt>
                <c:pt idx="5">
                  <c:v>268357.75517674978</c:v>
                </c:pt>
                <c:pt idx="6">
                  <c:v>884546.25</c:v>
                </c:pt>
                <c:pt idx="7">
                  <c:v>849164.4</c:v>
                </c:pt>
              </c:numCache>
            </c:numRef>
          </c:val>
          <c:extLst>
            <c:ext xmlns:c16="http://schemas.microsoft.com/office/drawing/2014/chart" uri="{C3380CC4-5D6E-409C-BE32-E72D297353CC}">
              <c16:uniqueId val="{00000001-AD86-4BCA-AA03-A59019E44D2B}"/>
            </c:ext>
          </c:extLst>
        </c:ser>
        <c:ser>
          <c:idx val="2"/>
          <c:order val="2"/>
          <c:tx>
            <c:strRef>
              <c:f>Dashboard!$B$27</c:f>
              <c:strCache>
                <c:ptCount val="1"/>
                <c:pt idx="0">
                  <c:v>Preparation costs (EUR)</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c:spPr>
          <c:invertIfNegative val="0"/>
          <c:cat>
            <c:strRef>
              <c:f>Dashboard!$C$24:$J$24</c:f>
              <c:strCache>
                <c:ptCount val="8"/>
                <c:pt idx="0">
                  <c:v>Own funds</c:v>
                </c:pt>
                <c:pt idx="1">
                  <c:v>Own funds + grant</c:v>
                </c:pt>
                <c:pt idx="2">
                  <c:v>Standard loan</c:v>
                </c:pt>
                <c:pt idx="3">
                  <c:v>Standard loan + grant</c:v>
                </c:pt>
                <c:pt idx="4">
                  <c:v>Green loan</c:v>
                </c:pt>
                <c:pt idx="5">
                  <c:v>Capital rebate loan</c:v>
                </c:pt>
                <c:pt idx="6">
                  <c:v>BONDS (Standard II)</c:v>
                </c:pt>
                <c:pt idx="7">
                  <c:v>BONDS (EuGBS - SLB)</c:v>
                </c:pt>
              </c:strCache>
            </c:strRef>
          </c:cat>
          <c:val>
            <c:numRef>
              <c:f>Dashboard!$C$27:$J$27</c:f>
              <c:numCache>
                <c:formatCode>#,##0</c:formatCode>
                <c:ptCount val="8"/>
                <c:pt idx="0">
                  <c:v>5307.2775000000001</c:v>
                </c:pt>
                <c:pt idx="1">
                  <c:v>14152.74</c:v>
                </c:pt>
                <c:pt idx="2">
                  <c:v>5307.2775000000001</c:v>
                </c:pt>
                <c:pt idx="3">
                  <c:v>22238.65625</c:v>
                </c:pt>
                <c:pt idx="4">
                  <c:v>12383.647499999999</c:v>
                </c:pt>
                <c:pt idx="5">
                  <c:v>6366.8237499999996</c:v>
                </c:pt>
                <c:pt idx="6">
                  <c:v>38920.034999999996</c:v>
                </c:pt>
                <c:pt idx="7">
                  <c:v>44227.3125</c:v>
                </c:pt>
              </c:numCache>
            </c:numRef>
          </c:val>
          <c:extLst>
            <c:ext xmlns:c16="http://schemas.microsoft.com/office/drawing/2014/chart" uri="{C3380CC4-5D6E-409C-BE32-E72D297353CC}">
              <c16:uniqueId val="{00000002-AD86-4BCA-AA03-A59019E44D2B}"/>
            </c:ext>
          </c:extLst>
        </c:ser>
        <c:ser>
          <c:idx val="3"/>
          <c:order val="3"/>
          <c:tx>
            <c:strRef>
              <c:f>Dashboard!$B$28</c:f>
              <c:strCache>
                <c:ptCount val="1"/>
                <c:pt idx="0">
                  <c:v>Other financial costs (EUR)</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c:spPr>
          <c:invertIfNegative val="0"/>
          <c:cat>
            <c:strRef>
              <c:f>Dashboard!$C$24:$J$24</c:f>
              <c:strCache>
                <c:ptCount val="8"/>
                <c:pt idx="0">
                  <c:v>Own funds</c:v>
                </c:pt>
                <c:pt idx="1">
                  <c:v>Own funds + grant</c:v>
                </c:pt>
                <c:pt idx="2">
                  <c:v>Standard loan</c:v>
                </c:pt>
                <c:pt idx="3">
                  <c:v>Standard loan + grant</c:v>
                </c:pt>
                <c:pt idx="4">
                  <c:v>Green loan</c:v>
                </c:pt>
                <c:pt idx="5">
                  <c:v>Capital rebate loan</c:v>
                </c:pt>
                <c:pt idx="6">
                  <c:v>BONDS (Standard II)</c:v>
                </c:pt>
                <c:pt idx="7">
                  <c:v>BONDS (EuGBS - SLB)</c:v>
                </c:pt>
              </c:strCache>
            </c:strRef>
          </c:cat>
          <c:val>
            <c:numRef>
              <c:f>Dashboard!$C$28:$J$28</c:f>
              <c:numCache>
                <c:formatCode>#,##0</c:formatCode>
                <c:ptCount val="8"/>
                <c:pt idx="0">
                  <c:v>0</c:v>
                </c:pt>
                <c:pt idx="1">
                  <c:v>0</c:v>
                </c:pt>
                <c:pt idx="2">
                  <c:v>0</c:v>
                </c:pt>
                <c:pt idx="3">
                  <c:v>0</c:v>
                </c:pt>
                <c:pt idx="4">
                  <c:v>0</c:v>
                </c:pt>
                <c:pt idx="5">
                  <c:v>0</c:v>
                </c:pt>
                <c:pt idx="6">
                  <c:v>35381.85</c:v>
                </c:pt>
                <c:pt idx="7">
                  <c:v>53072.775000000001</c:v>
                </c:pt>
              </c:numCache>
            </c:numRef>
          </c:val>
          <c:extLst>
            <c:ext xmlns:c16="http://schemas.microsoft.com/office/drawing/2014/chart" uri="{C3380CC4-5D6E-409C-BE32-E72D297353CC}">
              <c16:uniqueId val="{00000003-AD86-4BCA-AA03-A59019E44D2B}"/>
            </c:ext>
          </c:extLst>
        </c:ser>
        <c:dLbls>
          <c:showLegendKey val="0"/>
          <c:showVal val="0"/>
          <c:showCatName val="0"/>
          <c:showSerName val="0"/>
          <c:showPercent val="0"/>
          <c:showBubbleSize val="0"/>
        </c:dLbls>
        <c:gapWidth val="75"/>
        <c:overlap val="100"/>
        <c:axId val="374891119"/>
        <c:axId val="374890639"/>
      </c:barChart>
      <c:catAx>
        <c:axId val="374891119"/>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5">
                    <a:lumMod val="50000"/>
                  </a:schemeClr>
                </a:solidFill>
                <a:latin typeface="+mn-lt"/>
                <a:ea typeface="+mn-ea"/>
                <a:cs typeface="+mn-cs"/>
              </a:defRPr>
            </a:pPr>
            <a:endParaRPr lang="en-US"/>
          </a:p>
        </c:txPr>
        <c:crossAx val="374890639"/>
        <c:crosses val="autoZero"/>
        <c:auto val="1"/>
        <c:lblAlgn val="ctr"/>
        <c:lblOffset val="100"/>
        <c:noMultiLvlLbl val="0"/>
      </c:catAx>
      <c:valAx>
        <c:axId val="374890639"/>
        <c:scaling>
          <c:orientation val="minMax"/>
        </c:scaling>
        <c:delete val="0"/>
        <c:axPos val="l"/>
        <c:majorGridlines>
          <c:spPr>
            <a:ln w="9525" cap="flat" cmpd="sng" algn="ctr">
              <a:solidFill>
                <a:schemeClr val="tx2">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5">
                    <a:lumMod val="50000"/>
                  </a:schemeClr>
                </a:solidFill>
                <a:latin typeface="+mn-lt"/>
                <a:ea typeface="+mn-ea"/>
                <a:cs typeface="+mn-cs"/>
              </a:defRPr>
            </a:pPr>
            <a:endParaRPr lang="en-US"/>
          </a:p>
        </c:txPr>
        <c:crossAx val="3748911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accent5">
                  <a:lumMod val="50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CEE8E7"/>
    </a:solidFill>
    <a:ln w="9525" cap="flat" cmpd="sng" algn="ctr">
      <a:solidFill>
        <a:schemeClr val="accent5">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ptos" panose="020B0004020202020204" pitchFamily="34" charset="0"/>
                <a:ea typeface="+mn-ea"/>
                <a:cs typeface="+mn-cs"/>
              </a:defRPr>
            </a:pPr>
            <a:r>
              <a:rPr lang="hr-HR" sz="1400" b="0" i="0" u="none" strike="noStrike" kern="1200" spc="0" baseline="0">
                <a:solidFill>
                  <a:sysClr val="windowText" lastClr="000000">
                    <a:lumMod val="65000"/>
                    <a:lumOff val="35000"/>
                  </a:sysClr>
                </a:solidFill>
                <a:latin typeface="Aptos" panose="020B0004020202020204" pitchFamily="34" charset="0"/>
              </a:rPr>
              <a:t>Sensitivity analysis FNPV(C)</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ptos" panose="020B0004020202020204" pitchFamily="34" charset="0"/>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val>
            <c:numRef>
              <c:f>Dashboard!#REF!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Dashboard!#REF!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Dashboard!#REF!</c15:sqref>
                        </c15:formulaRef>
                      </c:ext>
                    </c:extLst>
                    <c:strCache>
                      <c:ptCount val="1"/>
                      <c:pt idx="0">
                        <c:v>#REF!</c:v>
                      </c:pt>
                    </c:strCache>
                  </c:strRef>
                </c15:cat>
              </c15:filteredCategoryTitle>
            </c:ext>
            <c:ext xmlns:c16="http://schemas.microsoft.com/office/drawing/2014/chart" uri="{C3380CC4-5D6E-409C-BE32-E72D297353CC}">
              <c16:uniqueId val="{00000000-776A-4C4A-926D-88EE2C7622E9}"/>
            </c:ext>
          </c:extLst>
        </c:ser>
        <c:ser>
          <c:idx val="1"/>
          <c:order val="1"/>
          <c:spPr>
            <a:ln w="28575" cap="rnd">
              <a:solidFill>
                <a:schemeClr val="accent2"/>
              </a:solidFill>
              <a:round/>
            </a:ln>
            <a:effectLst/>
          </c:spPr>
          <c:marker>
            <c:symbol val="none"/>
          </c:marker>
          <c:val>
            <c:numRef>
              <c:f>Dashboard!#REF!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Dashboard!#REF!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Dashboard!#REF!</c15:sqref>
                        </c15:formulaRef>
                      </c:ext>
                    </c:extLst>
                    <c:strCache>
                      <c:ptCount val="1"/>
                      <c:pt idx="0">
                        <c:v>#REF!</c:v>
                      </c:pt>
                    </c:strCache>
                  </c:strRef>
                </c15:cat>
              </c15:filteredCategoryTitle>
            </c:ext>
            <c:ext xmlns:c16="http://schemas.microsoft.com/office/drawing/2014/chart" uri="{C3380CC4-5D6E-409C-BE32-E72D297353CC}">
              <c16:uniqueId val="{00000001-776A-4C4A-926D-88EE2C7622E9}"/>
            </c:ext>
          </c:extLst>
        </c:ser>
        <c:ser>
          <c:idx val="2"/>
          <c:order val="2"/>
          <c:spPr>
            <a:ln w="28575" cap="rnd">
              <a:solidFill>
                <a:schemeClr val="accent3"/>
              </a:solidFill>
              <a:round/>
            </a:ln>
            <a:effectLst/>
          </c:spPr>
          <c:marker>
            <c:symbol val="none"/>
          </c:marker>
          <c:val>
            <c:numRef>
              <c:f>Dashboard!#REF!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Dashboard!#REF!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Dashboard!#REF!</c15:sqref>
                        </c15:formulaRef>
                      </c:ext>
                    </c:extLst>
                    <c:strCache>
                      <c:ptCount val="1"/>
                      <c:pt idx="0">
                        <c:v>#REF!</c:v>
                      </c:pt>
                    </c:strCache>
                  </c:strRef>
                </c15:cat>
              </c15:filteredCategoryTitle>
            </c:ext>
            <c:ext xmlns:c16="http://schemas.microsoft.com/office/drawing/2014/chart" uri="{C3380CC4-5D6E-409C-BE32-E72D297353CC}">
              <c16:uniqueId val="{00000002-776A-4C4A-926D-88EE2C7622E9}"/>
            </c:ext>
          </c:extLst>
        </c:ser>
        <c:dLbls>
          <c:showLegendKey val="0"/>
          <c:showVal val="0"/>
          <c:showCatName val="0"/>
          <c:showSerName val="0"/>
          <c:showPercent val="0"/>
          <c:showBubbleSize val="0"/>
        </c:dLbls>
        <c:smooth val="0"/>
        <c:axId val="598127216"/>
        <c:axId val="598112816"/>
      </c:lineChart>
      <c:catAx>
        <c:axId val="5981272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8112816"/>
        <c:crosses val="autoZero"/>
        <c:auto val="1"/>
        <c:lblAlgn val="ctr"/>
        <c:lblOffset val="100"/>
        <c:noMultiLvlLbl val="0"/>
      </c:catAx>
      <c:valAx>
        <c:axId val="59811281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81272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CEE8E7"/>
    </a:solidFill>
    <a:ln w="9525" cap="flat" cmpd="sng" algn="ctr">
      <a:solidFill>
        <a:schemeClr val="accent5">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8">
  <a:schemeClr val="accent5"/>
</cs:colorStyle>
</file>

<file path=xl/charts/colors2.xml><?xml version="1.0" encoding="utf-8"?>
<cs:colorStyle xmlns:cs="http://schemas.microsoft.com/office/drawing/2012/chartStyle" xmlns:a="http://schemas.openxmlformats.org/drawingml/2006/main" meth="withinLinear" id="18">
  <a:schemeClr val="accent5"/>
</cs:colorStyle>
</file>

<file path=xl/charts/colors3.xml><?xml version="1.0" encoding="utf-8"?>
<cs:colorStyle xmlns:cs="http://schemas.microsoft.com/office/drawing/2012/chartStyle" xmlns:a="http://schemas.openxmlformats.org/drawingml/2006/main" meth="withinLinear" id="18">
  <a:schemeClr val="accent5"/>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6">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6">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6">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302">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https://infire.interreg-euro-med.eu/" TargetMode="External"/><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 Id="rId4" Type="http://schemas.openxmlformats.org/officeDocument/2006/relationships/image" Target="../media/image5.jfif"/></Relationships>
</file>

<file path=xl/drawings/_rels/drawing6.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28575</xdr:rowOff>
    </xdr:from>
    <xdr:ext cx="184731" cy="264560"/>
    <xdr:sp macro="" textlink="">
      <xdr:nvSpPr>
        <xdr:cNvPr id="2" name="TextBox 1">
          <a:extLst>
            <a:ext uri="{FF2B5EF4-FFF2-40B4-BE49-F238E27FC236}">
              <a16:creationId xmlns:a16="http://schemas.microsoft.com/office/drawing/2014/main" id="{6648CBEF-6DC6-44FC-A721-473D5FFF4EFC}"/>
            </a:ext>
          </a:extLst>
        </xdr:cNvPr>
        <xdr:cNvSpPr txBox="1"/>
      </xdr:nvSpPr>
      <xdr:spPr>
        <a:xfrm>
          <a:off x="0" y="51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3</xdr:col>
      <xdr:colOff>390525</xdr:colOff>
      <xdr:row>3</xdr:row>
      <xdr:rowOff>28575</xdr:rowOff>
    </xdr:from>
    <xdr:ext cx="184731" cy="264560"/>
    <xdr:sp macro="" textlink="">
      <xdr:nvSpPr>
        <xdr:cNvPr id="3" name="TextBox 101">
          <a:extLst>
            <a:ext uri="{FF2B5EF4-FFF2-40B4-BE49-F238E27FC236}">
              <a16:creationId xmlns:a16="http://schemas.microsoft.com/office/drawing/2014/main" id="{F7C84C28-5B44-4BCC-8B19-9E8F344C60C3}"/>
            </a:ext>
          </a:extLst>
        </xdr:cNvPr>
        <xdr:cNvSpPr txBox="1"/>
      </xdr:nvSpPr>
      <xdr:spPr>
        <a:xfrm>
          <a:off x="1885950" y="51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1</xdr:col>
      <xdr:colOff>53422</xdr:colOff>
      <xdr:row>1</xdr:row>
      <xdr:rowOff>0</xdr:rowOff>
    </xdr:from>
    <xdr:to>
      <xdr:col>29</xdr:col>
      <xdr:colOff>38100</xdr:colOff>
      <xdr:row>13</xdr:row>
      <xdr:rowOff>0</xdr:rowOff>
    </xdr:to>
    <xdr:sp macro="" textlink="">
      <xdr:nvSpPr>
        <xdr:cNvPr id="4" name="TextBox 102">
          <a:extLst>
            <a:ext uri="{FF2B5EF4-FFF2-40B4-BE49-F238E27FC236}">
              <a16:creationId xmlns:a16="http://schemas.microsoft.com/office/drawing/2014/main" id="{3C73A961-7E19-4A02-AE72-E0C8838B57E6}"/>
            </a:ext>
          </a:extLst>
        </xdr:cNvPr>
        <xdr:cNvSpPr txBox="1"/>
      </xdr:nvSpPr>
      <xdr:spPr>
        <a:xfrm>
          <a:off x="329647" y="161925"/>
          <a:ext cx="17053478" cy="1943100"/>
        </a:xfrm>
        <a:prstGeom prst="rect">
          <a:avLst/>
        </a:prstGeom>
        <a:solidFill>
          <a:srgbClr val="31869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hr-HR" sz="3200" b="1">
              <a:solidFill>
                <a:schemeClr val="bg1"/>
              </a:solidFill>
              <a:latin typeface="Aptos" panose="020B0004020202020204" pitchFamily="34" charset="0"/>
            </a:rPr>
            <a:t>D.1.2.2 INFIRE Financial and Economic Evaluation Tool for carbon neutrality and climate adaptation projects</a:t>
          </a:r>
          <a:endParaRPr lang="en-US" sz="3200" b="1">
            <a:solidFill>
              <a:schemeClr val="bg1"/>
            </a:solidFill>
            <a:latin typeface="Aptos" panose="020B0004020202020204" pitchFamily="34" charset="0"/>
          </a:endParaRPr>
        </a:p>
      </xdr:txBody>
    </xdr:sp>
    <xdr:clientData/>
  </xdr:twoCellAnchor>
  <xdr:twoCellAnchor editAs="oneCell">
    <xdr:from>
      <xdr:col>15</xdr:col>
      <xdr:colOff>292100</xdr:colOff>
      <xdr:row>14</xdr:row>
      <xdr:rowOff>85726</xdr:rowOff>
    </xdr:from>
    <xdr:to>
      <xdr:col>29</xdr:col>
      <xdr:colOff>19050</xdr:colOff>
      <xdr:row>37</xdr:row>
      <xdr:rowOff>41922</xdr:rowOff>
    </xdr:to>
    <xdr:pic>
      <xdr:nvPicPr>
        <xdr:cNvPr id="5" name="Picture 2">
          <a:extLst>
            <a:ext uri="{FF2B5EF4-FFF2-40B4-BE49-F238E27FC236}">
              <a16:creationId xmlns:a16="http://schemas.microsoft.com/office/drawing/2014/main" id="{B391842E-F32B-4FBA-A785-8002C5023CBC}"/>
            </a:ext>
          </a:extLst>
        </xdr:cNvPr>
        <xdr:cNvPicPr>
          <a:picLocks noChangeAspect="1"/>
        </xdr:cNvPicPr>
      </xdr:nvPicPr>
      <xdr:blipFill>
        <a:blip xmlns:r="http://schemas.openxmlformats.org/officeDocument/2006/relationships" r:embed="rId1"/>
        <a:stretch>
          <a:fillRect/>
        </a:stretch>
      </xdr:blipFill>
      <xdr:spPr>
        <a:xfrm>
          <a:off x="9102725" y="2352676"/>
          <a:ext cx="8261350" cy="3680471"/>
        </a:xfrm>
        <a:prstGeom prst="rect">
          <a:avLst/>
        </a:prstGeom>
      </xdr:spPr>
    </xdr:pic>
    <xdr:clientData/>
  </xdr:twoCellAnchor>
  <xdr:twoCellAnchor>
    <xdr:from>
      <xdr:col>1</xdr:col>
      <xdr:colOff>342540</xdr:colOff>
      <xdr:row>15</xdr:row>
      <xdr:rowOff>16934</xdr:rowOff>
    </xdr:from>
    <xdr:to>
      <xdr:col>7</xdr:col>
      <xdr:colOff>522278</xdr:colOff>
      <xdr:row>16</xdr:row>
      <xdr:rowOff>113234</xdr:rowOff>
    </xdr:to>
    <xdr:sp macro="" textlink="">
      <xdr:nvSpPr>
        <xdr:cNvPr id="6" name="TextBox 104">
          <a:extLst>
            <a:ext uri="{FF2B5EF4-FFF2-40B4-BE49-F238E27FC236}">
              <a16:creationId xmlns:a16="http://schemas.microsoft.com/office/drawing/2014/main" id="{83658703-BA60-4987-8E9A-46DF09E2184A}"/>
            </a:ext>
          </a:extLst>
        </xdr:cNvPr>
        <xdr:cNvSpPr txBox="1"/>
      </xdr:nvSpPr>
      <xdr:spPr>
        <a:xfrm>
          <a:off x="618765" y="2445809"/>
          <a:ext cx="3837338" cy="258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1" i="0" u="none" strike="noStrike" baseline="0">
              <a:solidFill>
                <a:schemeClr val="accent5">
                  <a:lumMod val="50000"/>
                </a:schemeClr>
              </a:solidFill>
              <a:latin typeface="Aptos" panose="020B0004020202020204" pitchFamily="34" charset="0"/>
              <a:ea typeface="Roboto" panose="02000000000000000000" pitchFamily="2" charset="0"/>
              <a:cs typeface="Roboto" panose="02000000000000000000" pitchFamily="2" charset="0"/>
            </a:rPr>
            <a:t>PROJECT TITLE</a:t>
          </a:r>
          <a:endParaRPr lang="en-US" sz="1400" b="1">
            <a:solidFill>
              <a:schemeClr val="accent5">
                <a:lumMod val="50000"/>
              </a:schemeClr>
            </a:solidFill>
            <a:latin typeface="Aptos" panose="020B0004020202020204" pitchFamily="34" charset="0"/>
            <a:ea typeface="Roboto" panose="02000000000000000000" pitchFamily="2" charset="0"/>
            <a:cs typeface="Roboto" panose="02000000000000000000" pitchFamily="2" charset="0"/>
          </a:endParaRPr>
        </a:p>
      </xdr:txBody>
    </xdr:sp>
    <xdr:clientData/>
  </xdr:twoCellAnchor>
  <xdr:twoCellAnchor>
    <xdr:from>
      <xdr:col>1</xdr:col>
      <xdr:colOff>116368</xdr:colOff>
      <xdr:row>17</xdr:row>
      <xdr:rowOff>115509</xdr:rowOff>
    </xdr:from>
    <xdr:to>
      <xdr:col>14</xdr:col>
      <xdr:colOff>573475</xdr:colOff>
      <xdr:row>21</xdr:row>
      <xdr:rowOff>53382</xdr:rowOff>
    </xdr:to>
    <xdr:sp macro="" textlink="">
      <xdr:nvSpPr>
        <xdr:cNvPr id="7" name="TextBox 105">
          <a:extLst>
            <a:ext uri="{FF2B5EF4-FFF2-40B4-BE49-F238E27FC236}">
              <a16:creationId xmlns:a16="http://schemas.microsoft.com/office/drawing/2014/main" id="{B38B9DCC-2CE7-4EF7-928E-64EF6D856865}"/>
            </a:ext>
          </a:extLst>
        </xdr:cNvPr>
        <xdr:cNvSpPr txBox="1"/>
      </xdr:nvSpPr>
      <xdr:spPr>
        <a:xfrm>
          <a:off x="392593" y="2868234"/>
          <a:ext cx="8381907" cy="5855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52000" marR="0" lvl="0" indent="-252000" defTabSz="914400" eaLnBrk="1" fontAlgn="auto" latinLnBrk="0" hangingPunct="1">
            <a:lnSpc>
              <a:spcPct val="100000"/>
            </a:lnSpc>
            <a:spcBef>
              <a:spcPts val="0"/>
            </a:spcBef>
            <a:spcAft>
              <a:spcPts val="600"/>
            </a:spcAft>
            <a:buClrTx/>
            <a:buSzPct val="150000"/>
            <a:buFontTx/>
            <a:buBlip>
              <a:blip xmlns:r="http://schemas.openxmlformats.org/officeDocument/2006/relationships" r:embed="rId2"/>
            </a:buBlip>
            <a:tabLst/>
            <a:defRPr/>
          </a:pPr>
          <a:r>
            <a:rPr lang="en-US" sz="1200" b="0" i="0" baseline="0">
              <a:solidFill>
                <a:schemeClr val="accent5">
                  <a:lumMod val="50000"/>
                </a:schemeClr>
              </a:solidFill>
              <a:effectLst/>
              <a:latin typeface="Aptos" panose="020B0004020202020204" pitchFamily="34" charset="0"/>
              <a:ea typeface="+mn-ea"/>
              <a:cs typeface="+mn-cs"/>
            </a:rPr>
            <a:t>INnovative FInancing solutions for climate planning of REsilient and carbon neutral living areas</a:t>
          </a:r>
        </a:p>
      </xdr:txBody>
    </xdr:sp>
    <xdr:clientData/>
  </xdr:twoCellAnchor>
  <xdr:twoCellAnchor>
    <xdr:from>
      <xdr:col>1</xdr:col>
      <xdr:colOff>76200</xdr:colOff>
      <xdr:row>14</xdr:row>
      <xdr:rowOff>95250</xdr:rowOff>
    </xdr:from>
    <xdr:to>
      <xdr:col>15</xdr:col>
      <xdr:colOff>76200</xdr:colOff>
      <xdr:row>21</xdr:row>
      <xdr:rowOff>0</xdr:rowOff>
    </xdr:to>
    <xdr:sp macro="" textlink="">
      <xdr:nvSpPr>
        <xdr:cNvPr id="8" name="Rectangle 106">
          <a:extLst>
            <a:ext uri="{FF2B5EF4-FFF2-40B4-BE49-F238E27FC236}">
              <a16:creationId xmlns:a16="http://schemas.microsoft.com/office/drawing/2014/main" id="{50883CA1-F512-419A-9B1F-1CFCBA0A9FE8}"/>
            </a:ext>
          </a:extLst>
        </xdr:cNvPr>
        <xdr:cNvSpPr/>
      </xdr:nvSpPr>
      <xdr:spPr>
        <a:xfrm>
          <a:off x="352425" y="2362200"/>
          <a:ext cx="8534400" cy="1038225"/>
        </a:xfrm>
        <a:prstGeom prst="rect">
          <a:avLst/>
        </a:prstGeom>
        <a:noFill/>
        <a:ln w="28575">
          <a:solidFill>
            <a:schemeClr val="accent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ln w="9525">
              <a:solidFill>
                <a:schemeClr val="tx1"/>
              </a:solidFill>
            </a:ln>
          </a:endParaRPr>
        </a:p>
      </xdr:txBody>
    </xdr:sp>
    <xdr:clientData/>
  </xdr:twoCellAnchor>
  <xdr:twoCellAnchor>
    <xdr:from>
      <xdr:col>1</xdr:col>
      <xdr:colOff>342540</xdr:colOff>
      <xdr:row>22</xdr:row>
      <xdr:rowOff>150284</xdr:rowOff>
    </xdr:from>
    <xdr:to>
      <xdr:col>7</xdr:col>
      <xdr:colOff>522278</xdr:colOff>
      <xdr:row>24</xdr:row>
      <xdr:rowOff>134409</xdr:rowOff>
    </xdr:to>
    <xdr:sp macro="" textlink="">
      <xdr:nvSpPr>
        <xdr:cNvPr id="9" name="TextBox 104">
          <a:extLst>
            <a:ext uri="{FF2B5EF4-FFF2-40B4-BE49-F238E27FC236}">
              <a16:creationId xmlns:a16="http://schemas.microsoft.com/office/drawing/2014/main" id="{F0DA9D66-004B-47DA-AA19-CC0B36EAF4E4}"/>
            </a:ext>
          </a:extLst>
        </xdr:cNvPr>
        <xdr:cNvSpPr txBox="1"/>
      </xdr:nvSpPr>
      <xdr:spPr>
        <a:xfrm>
          <a:off x="618765" y="3712634"/>
          <a:ext cx="3837338" cy="307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1" i="0" u="none" strike="noStrike" baseline="0">
              <a:solidFill>
                <a:schemeClr val="accent5">
                  <a:lumMod val="50000"/>
                </a:schemeClr>
              </a:solidFill>
              <a:latin typeface="Aptos" panose="020B0004020202020204" pitchFamily="34" charset="0"/>
              <a:ea typeface="Roboto" panose="02000000000000000000" pitchFamily="2" charset="0"/>
              <a:cs typeface="Roboto" panose="02000000000000000000" pitchFamily="2" charset="0"/>
            </a:rPr>
            <a:t>PROGRAMME:</a:t>
          </a:r>
          <a:endParaRPr lang="en-US" sz="1400" b="1">
            <a:solidFill>
              <a:schemeClr val="accent5">
                <a:lumMod val="50000"/>
              </a:schemeClr>
            </a:solidFill>
            <a:latin typeface="Aptos" panose="020B0004020202020204" pitchFamily="34" charset="0"/>
            <a:ea typeface="Roboto" panose="02000000000000000000" pitchFamily="2" charset="0"/>
            <a:cs typeface="Roboto" panose="02000000000000000000" pitchFamily="2" charset="0"/>
          </a:endParaRPr>
        </a:p>
      </xdr:txBody>
    </xdr:sp>
    <xdr:clientData/>
  </xdr:twoCellAnchor>
  <xdr:twoCellAnchor>
    <xdr:from>
      <xdr:col>1</xdr:col>
      <xdr:colOff>116368</xdr:colOff>
      <xdr:row>25</xdr:row>
      <xdr:rowOff>86934</xdr:rowOff>
    </xdr:from>
    <xdr:to>
      <xdr:col>14</xdr:col>
      <xdr:colOff>573475</xdr:colOff>
      <xdr:row>29</xdr:row>
      <xdr:rowOff>137623</xdr:rowOff>
    </xdr:to>
    <xdr:sp macro="" textlink="">
      <xdr:nvSpPr>
        <xdr:cNvPr id="10" name="TextBox 105">
          <a:extLst>
            <a:ext uri="{FF2B5EF4-FFF2-40B4-BE49-F238E27FC236}">
              <a16:creationId xmlns:a16="http://schemas.microsoft.com/office/drawing/2014/main" id="{9F4F423C-FAC6-4805-B852-90F39838CAE6}"/>
            </a:ext>
          </a:extLst>
        </xdr:cNvPr>
        <xdr:cNvSpPr txBox="1"/>
      </xdr:nvSpPr>
      <xdr:spPr>
        <a:xfrm>
          <a:off x="392593" y="4135059"/>
          <a:ext cx="8381907" cy="6983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52000" marR="0" lvl="0" indent="-252000" defTabSz="914400" eaLnBrk="1" fontAlgn="auto" latinLnBrk="0" hangingPunct="1">
            <a:lnSpc>
              <a:spcPct val="100000"/>
            </a:lnSpc>
            <a:spcBef>
              <a:spcPts val="0"/>
            </a:spcBef>
            <a:spcAft>
              <a:spcPts val="600"/>
            </a:spcAft>
            <a:buClrTx/>
            <a:buSzPct val="150000"/>
            <a:buFontTx/>
            <a:buBlip>
              <a:blip xmlns:r="http://schemas.openxmlformats.org/officeDocument/2006/relationships" r:embed="rId2"/>
            </a:buBlip>
            <a:tabLst/>
            <a:defRPr/>
          </a:pPr>
          <a:r>
            <a:rPr lang="en-US" sz="1200" b="0" i="0" baseline="0">
              <a:solidFill>
                <a:schemeClr val="accent5">
                  <a:lumMod val="50000"/>
                </a:schemeClr>
              </a:solidFill>
              <a:effectLst/>
              <a:latin typeface="Aptos" panose="020B0004020202020204" pitchFamily="34" charset="0"/>
              <a:ea typeface="+mn-ea"/>
              <a:cs typeface="+mn-cs"/>
            </a:rPr>
            <a:t>Interreg Euro-MED </a:t>
          </a:r>
        </a:p>
      </xdr:txBody>
    </xdr:sp>
    <xdr:clientData/>
  </xdr:twoCellAnchor>
  <xdr:twoCellAnchor>
    <xdr:from>
      <xdr:col>1</xdr:col>
      <xdr:colOff>76200</xdr:colOff>
      <xdr:row>22</xdr:row>
      <xdr:rowOff>66675</xdr:rowOff>
    </xdr:from>
    <xdr:to>
      <xdr:col>15</xdr:col>
      <xdr:colOff>76200</xdr:colOff>
      <xdr:row>28</xdr:row>
      <xdr:rowOff>152400</xdr:rowOff>
    </xdr:to>
    <xdr:sp macro="" textlink="">
      <xdr:nvSpPr>
        <xdr:cNvPr id="11" name="Rectangle 106">
          <a:extLst>
            <a:ext uri="{FF2B5EF4-FFF2-40B4-BE49-F238E27FC236}">
              <a16:creationId xmlns:a16="http://schemas.microsoft.com/office/drawing/2014/main" id="{BEE990A7-0594-43A2-B49D-35744B7CEAE8}"/>
            </a:ext>
          </a:extLst>
        </xdr:cNvPr>
        <xdr:cNvSpPr/>
      </xdr:nvSpPr>
      <xdr:spPr>
        <a:xfrm>
          <a:off x="352425" y="3629025"/>
          <a:ext cx="8534400" cy="1057275"/>
        </a:xfrm>
        <a:prstGeom prst="rect">
          <a:avLst/>
        </a:prstGeom>
        <a:noFill/>
        <a:ln w="28575">
          <a:solidFill>
            <a:schemeClr val="accent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ln w="9525">
              <a:solidFill>
                <a:schemeClr val="tx1"/>
              </a:solidFill>
            </a:ln>
          </a:endParaRPr>
        </a:p>
      </xdr:txBody>
    </xdr:sp>
    <xdr:clientData/>
  </xdr:twoCellAnchor>
  <xdr:twoCellAnchor>
    <xdr:from>
      <xdr:col>1</xdr:col>
      <xdr:colOff>333015</xdr:colOff>
      <xdr:row>30</xdr:row>
      <xdr:rowOff>150284</xdr:rowOff>
    </xdr:from>
    <xdr:to>
      <xdr:col>7</xdr:col>
      <xdr:colOff>512753</xdr:colOff>
      <xdr:row>32</xdr:row>
      <xdr:rowOff>134409</xdr:rowOff>
    </xdr:to>
    <xdr:sp macro="" textlink="">
      <xdr:nvSpPr>
        <xdr:cNvPr id="12" name="TextBox 104">
          <a:extLst>
            <a:ext uri="{FF2B5EF4-FFF2-40B4-BE49-F238E27FC236}">
              <a16:creationId xmlns:a16="http://schemas.microsoft.com/office/drawing/2014/main" id="{D933896C-4FE4-4CA3-9F53-AFF1E57C1534}"/>
            </a:ext>
          </a:extLst>
        </xdr:cNvPr>
        <xdr:cNvSpPr txBox="1"/>
      </xdr:nvSpPr>
      <xdr:spPr>
        <a:xfrm>
          <a:off x="609240" y="5008034"/>
          <a:ext cx="3837338" cy="307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1" i="0" u="none" strike="noStrike" baseline="0">
              <a:solidFill>
                <a:schemeClr val="accent5">
                  <a:lumMod val="50000"/>
                </a:schemeClr>
              </a:solidFill>
              <a:latin typeface="Aptos" panose="020B0004020202020204" pitchFamily="34" charset="0"/>
              <a:ea typeface="Roboto" panose="02000000000000000000" pitchFamily="2" charset="0"/>
              <a:cs typeface="Roboto" panose="02000000000000000000" pitchFamily="2" charset="0"/>
            </a:rPr>
            <a:t>PROJECT WEBSITE:</a:t>
          </a:r>
          <a:endParaRPr lang="en-US" sz="1400" b="1">
            <a:solidFill>
              <a:schemeClr val="accent5">
                <a:lumMod val="50000"/>
              </a:schemeClr>
            </a:solidFill>
            <a:latin typeface="Aptos" panose="020B0004020202020204" pitchFamily="34" charset="0"/>
            <a:ea typeface="Roboto" panose="02000000000000000000" pitchFamily="2" charset="0"/>
            <a:cs typeface="Roboto" panose="02000000000000000000" pitchFamily="2" charset="0"/>
          </a:endParaRPr>
        </a:p>
      </xdr:txBody>
    </xdr:sp>
    <xdr:clientData/>
  </xdr:twoCellAnchor>
  <xdr:twoCellAnchor>
    <xdr:from>
      <xdr:col>1</xdr:col>
      <xdr:colOff>106843</xdr:colOff>
      <xdr:row>33</xdr:row>
      <xdr:rowOff>86935</xdr:rowOff>
    </xdr:from>
    <xdr:to>
      <xdr:col>7</xdr:col>
      <xdr:colOff>95250</xdr:colOff>
      <xdr:row>35</xdr:row>
      <xdr:rowOff>76201</xdr:rowOff>
    </xdr:to>
    <xdr:sp macro="" textlink="">
      <xdr:nvSpPr>
        <xdr:cNvPr id="13" name="TextBox 105">
          <a:hlinkClick xmlns:r="http://schemas.openxmlformats.org/officeDocument/2006/relationships" r:id="rId3"/>
          <a:extLst>
            <a:ext uri="{FF2B5EF4-FFF2-40B4-BE49-F238E27FC236}">
              <a16:creationId xmlns:a16="http://schemas.microsoft.com/office/drawing/2014/main" id="{781598F2-E730-4974-90E9-F68C4BFB83C0}"/>
            </a:ext>
          </a:extLst>
        </xdr:cNvPr>
        <xdr:cNvSpPr txBox="1"/>
      </xdr:nvSpPr>
      <xdr:spPr>
        <a:xfrm>
          <a:off x="383068" y="5430460"/>
          <a:ext cx="3646007" cy="3131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52000" marR="0" lvl="0" indent="-252000" defTabSz="914400" eaLnBrk="1" fontAlgn="auto" latinLnBrk="0" hangingPunct="1">
            <a:lnSpc>
              <a:spcPct val="100000"/>
            </a:lnSpc>
            <a:spcBef>
              <a:spcPts val="0"/>
            </a:spcBef>
            <a:spcAft>
              <a:spcPts val="600"/>
            </a:spcAft>
            <a:buClrTx/>
            <a:buSzPct val="150000"/>
            <a:buFontTx/>
            <a:buBlip>
              <a:blip xmlns:r="http://schemas.openxmlformats.org/officeDocument/2006/relationships" r:embed="rId2"/>
            </a:buBlip>
            <a:tabLst/>
            <a:defRPr/>
          </a:pPr>
          <a:r>
            <a:rPr lang="en-US" sz="1200" b="0" i="0" baseline="0">
              <a:solidFill>
                <a:schemeClr val="accent5">
                  <a:lumMod val="50000"/>
                </a:schemeClr>
              </a:solidFill>
              <a:effectLst/>
              <a:latin typeface="Aptos" panose="020B0004020202020204" pitchFamily="34" charset="0"/>
              <a:ea typeface="+mn-ea"/>
              <a:cs typeface="+mn-cs"/>
            </a:rPr>
            <a:t>INFIRE : https://infire.interreg-euro-med.eu/ </a:t>
          </a:r>
        </a:p>
      </xdr:txBody>
    </xdr:sp>
    <xdr:clientData/>
  </xdr:twoCellAnchor>
  <xdr:twoCellAnchor>
    <xdr:from>
      <xdr:col>1</xdr:col>
      <xdr:colOff>66675</xdr:colOff>
      <xdr:row>30</xdr:row>
      <xdr:rowOff>66675</xdr:rowOff>
    </xdr:from>
    <xdr:to>
      <xdr:col>15</xdr:col>
      <xdr:colOff>66675</xdr:colOff>
      <xdr:row>36</xdr:row>
      <xdr:rowOff>152400</xdr:rowOff>
    </xdr:to>
    <xdr:sp macro="" textlink="">
      <xdr:nvSpPr>
        <xdr:cNvPr id="14" name="Rectangle 106">
          <a:extLst>
            <a:ext uri="{FF2B5EF4-FFF2-40B4-BE49-F238E27FC236}">
              <a16:creationId xmlns:a16="http://schemas.microsoft.com/office/drawing/2014/main" id="{153AF7BC-6480-4ED4-A794-3AD51ED24ED7}"/>
            </a:ext>
          </a:extLst>
        </xdr:cNvPr>
        <xdr:cNvSpPr/>
      </xdr:nvSpPr>
      <xdr:spPr>
        <a:xfrm>
          <a:off x="342900" y="4924425"/>
          <a:ext cx="8534400" cy="1057275"/>
        </a:xfrm>
        <a:prstGeom prst="rect">
          <a:avLst/>
        </a:prstGeom>
        <a:noFill/>
        <a:ln w="28575">
          <a:solidFill>
            <a:schemeClr val="accent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ln w="9525">
              <a:solidFill>
                <a:schemeClr val="tx1"/>
              </a:solidFill>
            </a:ln>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3</xdr:row>
      <xdr:rowOff>28575</xdr:rowOff>
    </xdr:from>
    <xdr:ext cx="184731" cy="264560"/>
    <xdr:sp macro="" textlink="">
      <xdr:nvSpPr>
        <xdr:cNvPr id="2" name="TextBox 1">
          <a:extLst>
            <a:ext uri="{FF2B5EF4-FFF2-40B4-BE49-F238E27FC236}">
              <a16:creationId xmlns:a16="http://schemas.microsoft.com/office/drawing/2014/main" id="{64016F0C-DBD9-4E73-9B4F-D6A5CAE0EF46}"/>
            </a:ext>
          </a:extLst>
        </xdr:cNvPr>
        <xdr:cNvSpPr txBox="1"/>
      </xdr:nvSpPr>
      <xdr:spPr>
        <a:xfrm>
          <a:off x="0" y="51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3</xdr:col>
      <xdr:colOff>390525</xdr:colOff>
      <xdr:row>3</xdr:row>
      <xdr:rowOff>28575</xdr:rowOff>
    </xdr:from>
    <xdr:ext cx="184731" cy="264560"/>
    <xdr:sp macro="" textlink="">
      <xdr:nvSpPr>
        <xdr:cNvPr id="3" name="TextBox 101">
          <a:extLst>
            <a:ext uri="{FF2B5EF4-FFF2-40B4-BE49-F238E27FC236}">
              <a16:creationId xmlns:a16="http://schemas.microsoft.com/office/drawing/2014/main" id="{1AC8AD33-7308-4B95-9ECF-BD7D17DAC400}"/>
            </a:ext>
          </a:extLst>
        </xdr:cNvPr>
        <xdr:cNvSpPr txBox="1"/>
      </xdr:nvSpPr>
      <xdr:spPr>
        <a:xfrm>
          <a:off x="1885950" y="51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1</xdr:col>
      <xdr:colOff>53420</xdr:colOff>
      <xdr:row>0</xdr:row>
      <xdr:rowOff>161924</xdr:rowOff>
    </xdr:from>
    <xdr:to>
      <xdr:col>29</xdr:col>
      <xdr:colOff>19049</xdr:colOff>
      <xdr:row>5</xdr:row>
      <xdr:rowOff>142875</xdr:rowOff>
    </xdr:to>
    <xdr:sp macro="" textlink="">
      <xdr:nvSpPr>
        <xdr:cNvPr id="4" name="TextBox 102">
          <a:extLst>
            <a:ext uri="{FF2B5EF4-FFF2-40B4-BE49-F238E27FC236}">
              <a16:creationId xmlns:a16="http://schemas.microsoft.com/office/drawing/2014/main" id="{7193A9E0-7082-4F78-AC7D-3B694D26AF9A}"/>
            </a:ext>
          </a:extLst>
        </xdr:cNvPr>
        <xdr:cNvSpPr txBox="1"/>
      </xdr:nvSpPr>
      <xdr:spPr>
        <a:xfrm>
          <a:off x="329645" y="161924"/>
          <a:ext cx="17034429" cy="790576"/>
        </a:xfrm>
        <a:prstGeom prst="rect">
          <a:avLst/>
        </a:prstGeom>
        <a:solidFill>
          <a:srgbClr val="31869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000" b="1">
              <a:solidFill>
                <a:schemeClr val="bg1"/>
              </a:solidFill>
              <a:latin typeface="Aptos" panose="020B0004020202020204" pitchFamily="34" charset="0"/>
            </a:rPr>
            <a:t>PROJECT INFO</a:t>
          </a:r>
          <a:endParaRPr lang="en-US" sz="2000" b="1">
            <a:solidFill>
              <a:schemeClr val="bg1"/>
            </a:solidFill>
            <a:latin typeface="Aptos" panose="020B0004020202020204" pitchFamily="34" charset="0"/>
          </a:endParaRPr>
        </a:p>
      </xdr:txBody>
    </xdr:sp>
    <xdr:clientData/>
  </xdr:twoCellAnchor>
  <xdr:twoCellAnchor>
    <xdr:from>
      <xdr:col>15</xdr:col>
      <xdr:colOff>386876</xdr:colOff>
      <xdr:row>30</xdr:row>
      <xdr:rowOff>127720</xdr:rowOff>
    </xdr:from>
    <xdr:to>
      <xdr:col>29</xdr:col>
      <xdr:colOff>179397</xdr:colOff>
      <xdr:row>37</xdr:row>
      <xdr:rowOff>76200</xdr:rowOff>
    </xdr:to>
    <xdr:sp macro="" textlink="">
      <xdr:nvSpPr>
        <xdr:cNvPr id="5" name="TextBox 105">
          <a:extLst>
            <a:ext uri="{FF2B5EF4-FFF2-40B4-BE49-F238E27FC236}">
              <a16:creationId xmlns:a16="http://schemas.microsoft.com/office/drawing/2014/main" id="{8FA1069F-4DB9-4CEF-94AD-335205BB19F6}"/>
            </a:ext>
          </a:extLst>
        </xdr:cNvPr>
        <xdr:cNvSpPr txBox="1"/>
      </xdr:nvSpPr>
      <xdr:spPr>
        <a:xfrm>
          <a:off x="9197501" y="4985470"/>
          <a:ext cx="8326921" cy="10819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52000" marR="0" lvl="0" indent="-252000" defTabSz="914400" eaLnBrk="1" fontAlgn="auto" latinLnBrk="0" hangingPunct="1">
            <a:lnSpc>
              <a:spcPct val="100000"/>
            </a:lnSpc>
            <a:spcBef>
              <a:spcPts val="0"/>
            </a:spcBef>
            <a:spcAft>
              <a:spcPts val="600"/>
            </a:spcAft>
            <a:buClrTx/>
            <a:buSzPct val="150000"/>
            <a:buFontTx/>
            <a:buBlip>
              <a:blip xmlns:r="http://schemas.openxmlformats.org/officeDocument/2006/relationships" r:embed="rId1"/>
            </a:buBlip>
            <a:tabLst/>
            <a:defRPr/>
          </a:pPr>
          <a:r>
            <a:rPr lang="en-US" sz="1400" b="0" i="0" baseline="0">
              <a:solidFill>
                <a:schemeClr val="accent5">
                  <a:lumMod val="50000"/>
                </a:schemeClr>
              </a:solidFill>
              <a:effectLst/>
              <a:latin typeface="Aptos" panose="020B0004020202020204" pitchFamily="34" charset="0"/>
              <a:ea typeface="+mn-ea"/>
              <a:cs typeface="+mn-cs"/>
            </a:rPr>
            <a:t>Partner in charge: REGEA</a:t>
          </a:r>
        </a:p>
        <a:p>
          <a:pPr marL="252000" marR="0" lvl="0" indent="-252000" defTabSz="914400" eaLnBrk="1" fontAlgn="auto" latinLnBrk="0" hangingPunct="1">
            <a:lnSpc>
              <a:spcPct val="100000"/>
            </a:lnSpc>
            <a:spcBef>
              <a:spcPts val="0"/>
            </a:spcBef>
            <a:spcAft>
              <a:spcPts val="600"/>
            </a:spcAft>
            <a:buClrTx/>
            <a:buSzPct val="150000"/>
            <a:buFontTx/>
            <a:buBlip>
              <a:blip xmlns:r="http://schemas.openxmlformats.org/officeDocument/2006/relationships" r:embed="rId1"/>
            </a:buBlip>
            <a:tabLst/>
            <a:defRPr/>
          </a:pPr>
          <a:r>
            <a:rPr lang="en-US" sz="1400" b="0" i="0" baseline="0">
              <a:solidFill>
                <a:schemeClr val="accent5">
                  <a:lumMod val="50000"/>
                </a:schemeClr>
              </a:solidFill>
              <a:effectLst/>
              <a:latin typeface="Aptos" panose="020B0004020202020204" pitchFamily="34" charset="0"/>
              <a:ea typeface="+mn-ea"/>
              <a:cs typeface="+mn-cs"/>
            </a:rPr>
            <a:t>Partners involved: All</a:t>
          </a:r>
        </a:p>
        <a:p>
          <a:pPr marL="252000" marR="0" lvl="0" indent="-252000" defTabSz="914400" eaLnBrk="1" fontAlgn="auto" latinLnBrk="0" hangingPunct="1">
            <a:lnSpc>
              <a:spcPct val="100000"/>
            </a:lnSpc>
            <a:spcBef>
              <a:spcPts val="0"/>
            </a:spcBef>
            <a:spcAft>
              <a:spcPts val="600"/>
            </a:spcAft>
            <a:buClrTx/>
            <a:buSzPct val="150000"/>
            <a:buFontTx/>
            <a:buBlip>
              <a:blip xmlns:r="http://schemas.openxmlformats.org/officeDocument/2006/relationships" r:embed="rId1"/>
            </a:buBlip>
            <a:tabLst/>
            <a:defRPr/>
          </a:pPr>
          <a:r>
            <a:rPr lang="en-US" sz="1400" b="0" i="0" baseline="0">
              <a:solidFill>
                <a:schemeClr val="accent5">
                  <a:lumMod val="50000"/>
                </a:schemeClr>
              </a:solidFill>
              <a:effectLst/>
              <a:latin typeface="Aptos" panose="020B0004020202020204" pitchFamily="34" charset="0"/>
              <a:ea typeface="+mn-ea"/>
              <a:cs typeface="+mn-cs"/>
            </a:rPr>
            <a:t>Date of production: March 2025.</a:t>
          </a:r>
        </a:p>
      </xdr:txBody>
    </xdr:sp>
    <xdr:clientData/>
  </xdr:twoCellAnchor>
  <xdr:twoCellAnchor>
    <xdr:from>
      <xdr:col>15</xdr:col>
      <xdr:colOff>327657</xdr:colOff>
      <xdr:row>29</xdr:row>
      <xdr:rowOff>152401</xdr:rowOff>
    </xdr:from>
    <xdr:to>
      <xdr:col>29</xdr:col>
      <xdr:colOff>19050</xdr:colOff>
      <xdr:row>37</xdr:row>
      <xdr:rowOff>76201</xdr:rowOff>
    </xdr:to>
    <xdr:sp macro="" textlink="">
      <xdr:nvSpPr>
        <xdr:cNvPr id="6" name="Rectangle 106">
          <a:extLst>
            <a:ext uri="{FF2B5EF4-FFF2-40B4-BE49-F238E27FC236}">
              <a16:creationId xmlns:a16="http://schemas.microsoft.com/office/drawing/2014/main" id="{51B82637-A34C-40FB-91D3-2055238112D7}"/>
            </a:ext>
          </a:extLst>
        </xdr:cNvPr>
        <xdr:cNvSpPr/>
      </xdr:nvSpPr>
      <xdr:spPr>
        <a:xfrm>
          <a:off x="9138282" y="4848226"/>
          <a:ext cx="8225793" cy="1219200"/>
        </a:xfrm>
        <a:prstGeom prst="rect">
          <a:avLst/>
        </a:prstGeom>
        <a:noFill/>
        <a:ln w="28575">
          <a:solidFill>
            <a:schemeClr val="accent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ln w="9525">
              <a:solidFill>
                <a:schemeClr val="tx1"/>
              </a:solidFill>
            </a:ln>
          </a:endParaRPr>
        </a:p>
      </xdr:txBody>
    </xdr:sp>
    <xdr:clientData/>
  </xdr:twoCellAnchor>
  <xdr:twoCellAnchor>
    <xdr:from>
      <xdr:col>1</xdr:col>
      <xdr:colOff>96707</xdr:colOff>
      <xdr:row>6</xdr:row>
      <xdr:rowOff>94577</xdr:rowOff>
    </xdr:from>
    <xdr:to>
      <xdr:col>15</xdr:col>
      <xdr:colOff>190500</xdr:colOff>
      <xdr:row>37</xdr:row>
      <xdr:rowOff>76200</xdr:rowOff>
    </xdr:to>
    <xdr:sp macro="" textlink="">
      <xdr:nvSpPr>
        <xdr:cNvPr id="7" name="TextBox 107">
          <a:extLst>
            <a:ext uri="{FF2B5EF4-FFF2-40B4-BE49-F238E27FC236}">
              <a16:creationId xmlns:a16="http://schemas.microsoft.com/office/drawing/2014/main" id="{363F8C9D-8554-43D3-BFCC-F006B1DF3433}"/>
            </a:ext>
          </a:extLst>
        </xdr:cNvPr>
        <xdr:cNvSpPr txBox="1"/>
      </xdr:nvSpPr>
      <xdr:spPr>
        <a:xfrm>
          <a:off x="372932" y="1066127"/>
          <a:ext cx="8628193" cy="5001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52000" indent="-252000" algn="l">
            <a:spcAft>
              <a:spcPts val="600"/>
            </a:spcAft>
            <a:buSzPct val="150000"/>
            <a:buFontTx/>
            <a:buBlip>
              <a:blip xmlns:r="http://schemas.openxmlformats.org/officeDocument/2006/relationships" r:embed="rId1"/>
            </a:buBlip>
          </a:pPr>
          <a:endParaRPr lang="en-GB" sz="1400">
            <a:solidFill>
              <a:schemeClr val="accent5">
                <a:lumMod val="50000"/>
              </a:schemeClr>
            </a:solidFill>
            <a:latin typeface="Aptos" panose="020B0004020202020204" pitchFamily="34" charset="0"/>
          </a:endParaRPr>
        </a:p>
        <a:p>
          <a:pPr marL="252000" indent="-252000" algn="l">
            <a:spcAft>
              <a:spcPts val="600"/>
            </a:spcAft>
            <a:buSzPct val="150000"/>
            <a:buFontTx/>
            <a:buBlip>
              <a:blip xmlns:r="http://schemas.openxmlformats.org/officeDocument/2006/relationships" r:embed="rId1"/>
            </a:buBlip>
          </a:pPr>
          <a:r>
            <a:rPr lang="en-GB" sz="1400" b="1">
              <a:solidFill>
                <a:schemeClr val="accent5">
                  <a:lumMod val="50000"/>
                </a:schemeClr>
              </a:solidFill>
              <a:latin typeface="Aptos" panose="020B0004020202020204" pitchFamily="34" charset="0"/>
            </a:rPr>
            <a:t>Project full title: </a:t>
          </a:r>
          <a:r>
            <a:rPr lang="en-GB" sz="1400">
              <a:solidFill>
                <a:schemeClr val="accent5">
                  <a:lumMod val="50000"/>
                </a:schemeClr>
              </a:solidFill>
              <a:latin typeface="Aptos" panose="020B0004020202020204" pitchFamily="34" charset="0"/>
            </a:rPr>
            <a:t>INnovative FInancing solutions for climate planning of REsilient and carbon neutral living areas</a:t>
          </a:r>
        </a:p>
        <a:p>
          <a:pPr marL="252000" indent="-252000" algn="l">
            <a:spcAft>
              <a:spcPts val="600"/>
            </a:spcAft>
            <a:buSzPct val="150000"/>
            <a:buFontTx/>
            <a:buBlip>
              <a:blip xmlns:r="http://schemas.openxmlformats.org/officeDocument/2006/relationships" r:embed="rId1"/>
            </a:buBlip>
          </a:pPr>
          <a:endParaRPr lang="en-GB" sz="1400">
            <a:solidFill>
              <a:schemeClr val="accent5">
                <a:lumMod val="50000"/>
              </a:schemeClr>
            </a:solidFill>
            <a:latin typeface="Aptos" panose="020B0004020202020204" pitchFamily="34" charset="0"/>
          </a:endParaRPr>
        </a:p>
        <a:p>
          <a:pPr marL="252000" indent="-252000" algn="l">
            <a:spcAft>
              <a:spcPts val="600"/>
            </a:spcAft>
            <a:buSzPct val="150000"/>
            <a:buFontTx/>
            <a:buBlip>
              <a:blip xmlns:r="http://schemas.openxmlformats.org/officeDocument/2006/relationships" r:embed="rId1"/>
            </a:buBlip>
          </a:pPr>
          <a:r>
            <a:rPr lang="en-GB" sz="1400" b="1">
              <a:solidFill>
                <a:schemeClr val="accent5">
                  <a:lumMod val="50000"/>
                </a:schemeClr>
              </a:solidFill>
              <a:latin typeface="Aptos" panose="020B0004020202020204" pitchFamily="34" charset="0"/>
            </a:rPr>
            <a:t>Project</a:t>
          </a:r>
          <a:r>
            <a:rPr lang="en-GB" sz="1400" b="1" baseline="0">
              <a:solidFill>
                <a:schemeClr val="accent5">
                  <a:lumMod val="50000"/>
                </a:schemeClr>
              </a:solidFill>
              <a:latin typeface="Aptos" panose="020B0004020202020204" pitchFamily="34" charset="0"/>
            </a:rPr>
            <a:t> m</a:t>
          </a:r>
          <a:r>
            <a:rPr lang="en-GB" sz="1400" b="1">
              <a:solidFill>
                <a:schemeClr val="accent5">
                  <a:lumMod val="50000"/>
                </a:schemeClr>
              </a:solidFill>
              <a:latin typeface="Aptos" panose="020B0004020202020204" pitchFamily="34" charset="0"/>
            </a:rPr>
            <a:t>ission: </a:t>
          </a:r>
          <a:r>
            <a:rPr lang="en-GB" sz="1400">
              <a:solidFill>
                <a:schemeClr val="accent5">
                  <a:lumMod val="50000"/>
                </a:schemeClr>
              </a:solidFill>
              <a:latin typeface="Aptos" panose="020B0004020202020204" pitchFamily="34" charset="0"/>
            </a:rPr>
            <a:t>Promoting</a:t>
          </a:r>
          <a:r>
            <a:rPr lang="en-GB" sz="1400" baseline="0">
              <a:solidFill>
                <a:schemeClr val="accent5">
                  <a:lumMod val="50000"/>
                </a:schemeClr>
              </a:solidFill>
              <a:latin typeface="Aptos" panose="020B0004020202020204" pitchFamily="34" charset="0"/>
            </a:rPr>
            <a:t> green living areas</a:t>
          </a:r>
        </a:p>
        <a:p>
          <a:pPr marL="252000" indent="-252000" algn="l">
            <a:spcAft>
              <a:spcPts val="600"/>
            </a:spcAft>
            <a:buSzPct val="150000"/>
            <a:buFontTx/>
            <a:buBlip>
              <a:blip xmlns:r="http://schemas.openxmlformats.org/officeDocument/2006/relationships" r:embed="rId1"/>
            </a:buBlip>
          </a:pPr>
          <a:endParaRPr lang="en-GB" sz="1400">
            <a:solidFill>
              <a:schemeClr val="accent5">
                <a:lumMod val="50000"/>
              </a:schemeClr>
            </a:solidFill>
            <a:latin typeface="Aptos" panose="020B0004020202020204" pitchFamily="34" charset="0"/>
          </a:endParaRPr>
        </a:p>
        <a:p>
          <a:pPr marL="252000" indent="-252000" algn="l">
            <a:spcAft>
              <a:spcPts val="600"/>
            </a:spcAft>
            <a:buSzPct val="150000"/>
            <a:buFontTx/>
            <a:buBlip>
              <a:blip xmlns:r="http://schemas.openxmlformats.org/officeDocument/2006/relationships" r:embed="rId1"/>
            </a:buBlip>
          </a:pPr>
          <a:r>
            <a:rPr lang="en-GB" sz="1400" b="1">
              <a:solidFill>
                <a:schemeClr val="accent5">
                  <a:lumMod val="50000"/>
                </a:schemeClr>
              </a:solidFill>
              <a:latin typeface="Aptos" panose="020B0004020202020204" pitchFamily="34" charset="0"/>
            </a:rPr>
            <a:t>Programme priority: </a:t>
          </a:r>
          <a:r>
            <a:rPr lang="en-GB" sz="1400">
              <a:solidFill>
                <a:schemeClr val="accent5">
                  <a:lumMod val="50000"/>
                </a:schemeClr>
              </a:solidFill>
              <a:latin typeface="Aptos" panose="020B0004020202020204" pitchFamily="34" charset="0"/>
            </a:rPr>
            <a:t>2 - Greener MED</a:t>
          </a:r>
          <a:r>
            <a:rPr lang="en-GB" sz="1400" baseline="0">
              <a:solidFill>
                <a:schemeClr val="accent5">
                  <a:lumMod val="50000"/>
                </a:schemeClr>
              </a:solidFill>
              <a:latin typeface="Aptos" panose="020B0004020202020204" pitchFamily="34" charset="0"/>
            </a:rPr>
            <a:t> </a:t>
          </a:r>
        </a:p>
        <a:p>
          <a:pPr marL="252000" indent="-252000" algn="l">
            <a:spcAft>
              <a:spcPts val="600"/>
            </a:spcAft>
            <a:buSzPct val="150000"/>
            <a:buFontTx/>
            <a:buBlip>
              <a:blip xmlns:r="http://schemas.openxmlformats.org/officeDocument/2006/relationships" r:embed="rId1"/>
            </a:buBlip>
          </a:pPr>
          <a:endParaRPr lang="en-GB" sz="1400" baseline="0">
            <a:solidFill>
              <a:schemeClr val="accent5">
                <a:lumMod val="50000"/>
              </a:schemeClr>
            </a:solidFill>
            <a:latin typeface="Aptos" panose="020B0004020202020204" pitchFamily="34" charset="0"/>
          </a:endParaRPr>
        </a:p>
        <a:p>
          <a:pPr marL="252000" indent="-252000" algn="l">
            <a:spcAft>
              <a:spcPts val="600"/>
            </a:spcAft>
            <a:buSzPct val="150000"/>
            <a:buFontTx/>
            <a:buBlip>
              <a:blip xmlns:r="http://schemas.openxmlformats.org/officeDocument/2006/relationships" r:embed="rId1"/>
            </a:buBlip>
          </a:pPr>
          <a:r>
            <a:rPr lang="en-GB" sz="1400" b="1" baseline="0">
              <a:solidFill>
                <a:schemeClr val="accent5">
                  <a:lumMod val="50000"/>
                </a:schemeClr>
              </a:solidFill>
              <a:latin typeface="Aptos" panose="020B0004020202020204" pitchFamily="34" charset="0"/>
            </a:rPr>
            <a:t>Specific objective: </a:t>
          </a:r>
          <a:r>
            <a:rPr lang="en-GB" sz="1400" baseline="0">
              <a:solidFill>
                <a:schemeClr val="accent5">
                  <a:lumMod val="50000"/>
                </a:schemeClr>
              </a:solidFill>
              <a:latin typeface="Aptos" panose="020B0004020202020204" pitchFamily="34" charset="0"/>
            </a:rPr>
            <a:t>RSO2.4 - Promoting climate change adaptation and disaster risk prevention, resilience, taking into account eco-system based approaches</a:t>
          </a:r>
        </a:p>
        <a:p>
          <a:pPr marL="252000" indent="-252000" algn="l">
            <a:spcAft>
              <a:spcPts val="600"/>
            </a:spcAft>
            <a:buSzPct val="150000"/>
            <a:buFontTx/>
            <a:buBlip>
              <a:blip xmlns:r="http://schemas.openxmlformats.org/officeDocument/2006/relationships" r:embed="rId1"/>
            </a:buBlip>
          </a:pPr>
          <a:endParaRPr lang="en-GB" sz="1400" baseline="0">
            <a:solidFill>
              <a:schemeClr val="accent5">
                <a:lumMod val="50000"/>
              </a:schemeClr>
            </a:solidFill>
            <a:latin typeface="Aptos" panose="020B0004020202020204" pitchFamily="34" charset="0"/>
          </a:endParaRPr>
        </a:p>
        <a:p>
          <a:pPr marL="252000" indent="-252000" algn="l">
            <a:spcAft>
              <a:spcPts val="600"/>
            </a:spcAft>
            <a:buSzPct val="150000"/>
            <a:buFontTx/>
            <a:buBlip>
              <a:blip xmlns:r="http://schemas.openxmlformats.org/officeDocument/2006/relationships" r:embed="rId1"/>
            </a:buBlip>
          </a:pPr>
          <a:r>
            <a:rPr lang="en-GB" sz="1400" b="1" baseline="0">
              <a:solidFill>
                <a:schemeClr val="accent5">
                  <a:lumMod val="50000"/>
                </a:schemeClr>
              </a:solidFill>
              <a:latin typeface="Aptos" panose="020B0004020202020204" pitchFamily="34" charset="0"/>
            </a:rPr>
            <a:t>Deliverable: </a:t>
          </a:r>
          <a:r>
            <a:rPr lang="en-GB" sz="1400" baseline="0">
              <a:solidFill>
                <a:schemeClr val="accent5">
                  <a:lumMod val="50000"/>
                </a:schemeClr>
              </a:solidFill>
              <a:latin typeface="Aptos" panose="020B0004020202020204" pitchFamily="34" charset="0"/>
            </a:rPr>
            <a:t>D.1.2.2 INFIRE Financial and Economic Evaluation Tool for carbon neutrality and climate adaptation projects</a:t>
          </a:r>
        </a:p>
        <a:p>
          <a:pPr marL="252000" indent="-252000" algn="l">
            <a:spcAft>
              <a:spcPts val="600"/>
            </a:spcAft>
            <a:buSzPct val="150000"/>
            <a:buFontTx/>
            <a:buBlip>
              <a:blip xmlns:r="http://schemas.openxmlformats.org/officeDocument/2006/relationships" r:embed="rId1"/>
            </a:buBlip>
          </a:pPr>
          <a:endParaRPr lang="en-GB" sz="1400" baseline="0">
            <a:solidFill>
              <a:schemeClr val="accent5">
                <a:lumMod val="50000"/>
              </a:schemeClr>
            </a:solidFill>
            <a:latin typeface="Aptos" panose="020B0004020202020204" pitchFamily="34" charset="0"/>
          </a:endParaRPr>
        </a:p>
        <a:p>
          <a:pPr marL="252000" indent="-252000" algn="l">
            <a:spcAft>
              <a:spcPts val="600"/>
            </a:spcAft>
            <a:buSzPct val="150000"/>
            <a:buFontTx/>
            <a:buBlip>
              <a:blip xmlns:r="http://schemas.openxmlformats.org/officeDocument/2006/relationships" r:embed="rId1"/>
            </a:buBlip>
          </a:pPr>
          <a:r>
            <a:rPr lang="en-GB" sz="1400" b="1" baseline="0">
              <a:solidFill>
                <a:schemeClr val="accent5">
                  <a:lumMod val="50000"/>
                </a:schemeClr>
              </a:solidFill>
              <a:latin typeface="Aptos" panose="020B0004020202020204" pitchFamily="34" charset="0"/>
            </a:rPr>
            <a:t>Activity: </a:t>
          </a:r>
          <a:r>
            <a:rPr lang="en-GB" sz="1400" baseline="0">
              <a:solidFill>
                <a:schemeClr val="accent5">
                  <a:lumMod val="50000"/>
                </a:schemeClr>
              </a:solidFill>
              <a:latin typeface="Aptos" panose="020B0004020202020204" pitchFamily="34" charset="0"/>
            </a:rPr>
            <a:t>A.1.2 INFIRE green finance evaluation tools and models</a:t>
          </a:r>
        </a:p>
        <a:p>
          <a:pPr marL="252000" indent="-252000" algn="l">
            <a:spcAft>
              <a:spcPts val="600"/>
            </a:spcAft>
            <a:buSzPct val="150000"/>
            <a:buFontTx/>
            <a:buBlip>
              <a:blip xmlns:r="http://schemas.openxmlformats.org/officeDocument/2006/relationships" r:embed="rId1"/>
            </a:buBlip>
          </a:pPr>
          <a:endParaRPr lang="en-GB" sz="1400" baseline="0">
            <a:solidFill>
              <a:schemeClr val="accent5">
                <a:lumMod val="50000"/>
              </a:schemeClr>
            </a:solidFill>
            <a:latin typeface="Aptos" panose="020B0004020202020204" pitchFamily="34" charset="0"/>
          </a:endParaRPr>
        </a:p>
        <a:p>
          <a:pPr marL="252000" indent="-252000" algn="l">
            <a:spcAft>
              <a:spcPts val="600"/>
            </a:spcAft>
            <a:buSzPct val="150000"/>
            <a:buFontTx/>
            <a:buBlip>
              <a:blip xmlns:r="http://schemas.openxmlformats.org/officeDocument/2006/relationships" r:embed="rId1"/>
            </a:buBlip>
          </a:pPr>
          <a:r>
            <a:rPr lang="en-GB" sz="1400" b="1" baseline="0">
              <a:solidFill>
                <a:schemeClr val="accent5">
                  <a:lumMod val="50000"/>
                </a:schemeClr>
              </a:solidFill>
              <a:latin typeface="Aptos" panose="020B0004020202020204" pitchFamily="34" charset="0"/>
            </a:rPr>
            <a:t>Work Package: </a:t>
          </a:r>
          <a:r>
            <a:rPr lang="en-GB" sz="1400" baseline="0">
              <a:solidFill>
                <a:schemeClr val="accent5">
                  <a:lumMod val="50000"/>
                </a:schemeClr>
              </a:solidFill>
              <a:latin typeface="Aptos" panose="020B0004020202020204" pitchFamily="34" charset="0"/>
            </a:rPr>
            <a:t>WP1 Innovative green financing for resilient and carbon-neutral Euro-MED living areas</a:t>
          </a:r>
          <a:endParaRPr lang="en-US" sz="1100" b="0" i="0" u="none" strike="noStrike" baseline="0">
            <a:solidFill>
              <a:schemeClr val="bg1"/>
            </a:solidFill>
            <a:latin typeface="+mn-lt"/>
            <a:ea typeface="+mn-ea"/>
            <a:cs typeface="+mn-cs"/>
          </a:endParaRPr>
        </a:p>
      </xdr:txBody>
    </xdr:sp>
    <xdr:clientData/>
  </xdr:twoCellAnchor>
  <xdr:twoCellAnchor editAs="oneCell">
    <xdr:from>
      <xdr:col>15</xdr:col>
      <xdr:colOff>330199</xdr:colOff>
      <xdr:row>6</xdr:row>
      <xdr:rowOff>142874</xdr:rowOff>
    </xdr:from>
    <xdr:to>
      <xdr:col>29</xdr:col>
      <xdr:colOff>27190</xdr:colOff>
      <xdr:row>29</xdr:row>
      <xdr:rowOff>85724</xdr:rowOff>
    </xdr:to>
    <xdr:pic>
      <xdr:nvPicPr>
        <xdr:cNvPr id="8" name="Picture 2">
          <a:extLst>
            <a:ext uri="{FF2B5EF4-FFF2-40B4-BE49-F238E27FC236}">
              <a16:creationId xmlns:a16="http://schemas.microsoft.com/office/drawing/2014/main" id="{1F8A3612-598F-443D-9A78-953938CEC542}"/>
            </a:ext>
          </a:extLst>
        </xdr:cNvPr>
        <xdr:cNvPicPr>
          <a:picLocks noChangeAspect="1"/>
        </xdr:cNvPicPr>
      </xdr:nvPicPr>
      <xdr:blipFill>
        <a:blip xmlns:r="http://schemas.openxmlformats.org/officeDocument/2006/relationships" r:embed="rId2"/>
        <a:stretch>
          <a:fillRect/>
        </a:stretch>
      </xdr:blipFill>
      <xdr:spPr>
        <a:xfrm>
          <a:off x="9140824" y="1114424"/>
          <a:ext cx="8231391" cy="3667125"/>
        </a:xfrm>
        <a:prstGeom prst="rect">
          <a:avLst/>
        </a:prstGeom>
      </xdr:spPr>
    </xdr:pic>
    <xdr:clientData/>
  </xdr:twoCellAnchor>
  <xdr:twoCellAnchor>
    <xdr:from>
      <xdr:col>1</xdr:col>
      <xdr:colOff>66674</xdr:colOff>
      <xdr:row>6</xdr:row>
      <xdr:rowOff>142874</xdr:rowOff>
    </xdr:from>
    <xdr:to>
      <xdr:col>15</xdr:col>
      <xdr:colOff>238125</xdr:colOff>
      <xdr:row>37</xdr:row>
      <xdr:rowOff>76200</xdr:rowOff>
    </xdr:to>
    <xdr:sp macro="" textlink="">
      <xdr:nvSpPr>
        <xdr:cNvPr id="9" name="Rectangle 106">
          <a:extLst>
            <a:ext uri="{FF2B5EF4-FFF2-40B4-BE49-F238E27FC236}">
              <a16:creationId xmlns:a16="http://schemas.microsoft.com/office/drawing/2014/main" id="{50F3E559-EB81-4916-8330-3C431EF69C7E}"/>
            </a:ext>
          </a:extLst>
        </xdr:cNvPr>
        <xdr:cNvSpPr/>
      </xdr:nvSpPr>
      <xdr:spPr>
        <a:xfrm>
          <a:off x="342899" y="1114424"/>
          <a:ext cx="8705851" cy="4953001"/>
        </a:xfrm>
        <a:prstGeom prst="rect">
          <a:avLst/>
        </a:prstGeom>
        <a:noFill/>
        <a:ln w="28575">
          <a:solidFill>
            <a:schemeClr val="accent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ln w="9525">
              <a:solidFill>
                <a:schemeClr val="tx1"/>
              </a:solidFill>
            </a:ln>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3</xdr:row>
      <xdr:rowOff>28575</xdr:rowOff>
    </xdr:from>
    <xdr:ext cx="184731" cy="264560"/>
    <xdr:sp macro="" textlink="">
      <xdr:nvSpPr>
        <xdr:cNvPr id="2" name="TextBox 1">
          <a:extLst>
            <a:ext uri="{FF2B5EF4-FFF2-40B4-BE49-F238E27FC236}">
              <a16:creationId xmlns:a16="http://schemas.microsoft.com/office/drawing/2014/main" id="{FE3DE779-5647-4F73-B540-DBF231BE60D3}"/>
            </a:ext>
          </a:extLst>
        </xdr:cNvPr>
        <xdr:cNvSpPr txBox="1"/>
      </xdr:nvSpPr>
      <xdr:spPr>
        <a:xfrm>
          <a:off x="2955925" y="7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3</xdr:col>
      <xdr:colOff>390525</xdr:colOff>
      <xdr:row>3</xdr:row>
      <xdr:rowOff>28575</xdr:rowOff>
    </xdr:from>
    <xdr:ext cx="184731" cy="264560"/>
    <xdr:sp macro="" textlink="">
      <xdr:nvSpPr>
        <xdr:cNvPr id="102" name="TextBox 101">
          <a:extLst>
            <a:ext uri="{FF2B5EF4-FFF2-40B4-BE49-F238E27FC236}">
              <a16:creationId xmlns:a16="http://schemas.microsoft.com/office/drawing/2014/main" id="{8AA64505-A0C8-472D-9DD6-19302C315C23}"/>
            </a:ext>
          </a:extLst>
        </xdr:cNvPr>
        <xdr:cNvSpPr txBox="1"/>
      </xdr:nvSpPr>
      <xdr:spPr>
        <a:xfrm>
          <a:off x="2889885" y="7600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1</xdr:col>
      <xdr:colOff>53422</xdr:colOff>
      <xdr:row>1</xdr:row>
      <xdr:rowOff>0</xdr:rowOff>
    </xdr:from>
    <xdr:to>
      <xdr:col>11</xdr:col>
      <xdr:colOff>537882</xdr:colOff>
      <xdr:row>4</xdr:row>
      <xdr:rowOff>5901</xdr:rowOff>
    </xdr:to>
    <xdr:sp macro="" textlink="">
      <xdr:nvSpPr>
        <xdr:cNvPr id="103" name="TextBox 102">
          <a:extLst>
            <a:ext uri="{FF2B5EF4-FFF2-40B4-BE49-F238E27FC236}">
              <a16:creationId xmlns:a16="http://schemas.microsoft.com/office/drawing/2014/main" id="{5972F0A6-1E2D-4F48-9DA5-0747BBCACEAC}"/>
            </a:ext>
          </a:extLst>
        </xdr:cNvPr>
        <xdr:cNvSpPr txBox="1"/>
      </xdr:nvSpPr>
      <xdr:spPr>
        <a:xfrm>
          <a:off x="344775" y="168088"/>
          <a:ext cx="6759754" cy="510166"/>
        </a:xfrm>
        <a:prstGeom prst="rect">
          <a:avLst/>
        </a:prstGeom>
        <a:solidFill>
          <a:srgbClr val="31869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hr-HR" sz="1800" b="1">
              <a:solidFill>
                <a:schemeClr val="bg1"/>
              </a:solidFill>
              <a:latin typeface="Aptos" panose="020B0004020202020204" pitchFamily="34" charset="0"/>
            </a:rPr>
            <a:t>DISCLAIMER</a:t>
          </a:r>
          <a:endParaRPr lang="en-US" sz="1800" b="1">
            <a:solidFill>
              <a:schemeClr val="bg1"/>
            </a:solidFill>
            <a:latin typeface="Aptos" panose="020B0004020202020204" pitchFamily="34" charset="0"/>
          </a:endParaRPr>
        </a:p>
      </xdr:txBody>
    </xdr:sp>
    <xdr:clientData/>
  </xdr:twoCellAnchor>
  <xdr:twoCellAnchor>
    <xdr:from>
      <xdr:col>1</xdr:col>
      <xdr:colOff>397148</xdr:colOff>
      <xdr:row>28</xdr:row>
      <xdr:rowOff>129366</xdr:rowOff>
    </xdr:from>
    <xdr:to>
      <xdr:col>5</xdr:col>
      <xdr:colOff>558037</xdr:colOff>
      <xdr:row>30</xdr:row>
      <xdr:rowOff>107753</xdr:rowOff>
    </xdr:to>
    <xdr:sp macro="" textlink="">
      <xdr:nvSpPr>
        <xdr:cNvPr id="105" name="TextBox 104">
          <a:extLst>
            <a:ext uri="{FF2B5EF4-FFF2-40B4-BE49-F238E27FC236}">
              <a16:creationId xmlns:a16="http://schemas.microsoft.com/office/drawing/2014/main" id="{47739559-DA1B-4AE1-85A3-16A8086A7452}"/>
            </a:ext>
          </a:extLst>
        </xdr:cNvPr>
        <xdr:cNvSpPr txBox="1"/>
      </xdr:nvSpPr>
      <xdr:spPr>
        <a:xfrm>
          <a:off x="682898" y="4574366"/>
          <a:ext cx="2700889" cy="2958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1" i="0" u="none" strike="noStrike" baseline="0">
              <a:solidFill>
                <a:schemeClr val="accent5">
                  <a:lumMod val="50000"/>
                </a:schemeClr>
              </a:solidFill>
              <a:latin typeface="Aptos" panose="020B0004020202020204" pitchFamily="34" charset="0"/>
              <a:ea typeface="Roboto" panose="02000000000000000000" pitchFamily="2" charset="0"/>
              <a:cs typeface="Roboto" panose="02000000000000000000" pitchFamily="2" charset="0"/>
            </a:rPr>
            <a:t>REPORTING OF BUGS</a:t>
          </a:r>
          <a:endParaRPr lang="en-US" sz="1400" b="1">
            <a:solidFill>
              <a:schemeClr val="accent5">
                <a:lumMod val="50000"/>
              </a:schemeClr>
            </a:solidFill>
            <a:latin typeface="Aptos" panose="020B0004020202020204" pitchFamily="34" charset="0"/>
            <a:ea typeface="Roboto" panose="02000000000000000000" pitchFamily="2" charset="0"/>
            <a:cs typeface="Roboto" panose="02000000000000000000" pitchFamily="2" charset="0"/>
          </a:endParaRPr>
        </a:p>
      </xdr:txBody>
    </xdr:sp>
    <xdr:clientData/>
  </xdr:twoCellAnchor>
  <xdr:twoCellAnchor>
    <xdr:from>
      <xdr:col>1</xdr:col>
      <xdr:colOff>170977</xdr:colOff>
      <xdr:row>31</xdr:row>
      <xdr:rowOff>66016</xdr:rowOff>
    </xdr:from>
    <xdr:to>
      <xdr:col>10</xdr:col>
      <xdr:colOff>362211</xdr:colOff>
      <xdr:row>35</xdr:row>
      <xdr:rowOff>103693</xdr:rowOff>
    </xdr:to>
    <xdr:sp macro="" textlink="">
      <xdr:nvSpPr>
        <xdr:cNvPr id="106" name="TextBox 105">
          <a:extLst>
            <a:ext uri="{FF2B5EF4-FFF2-40B4-BE49-F238E27FC236}">
              <a16:creationId xmlns:a16="http://schemas.microsoft.com/office/drawing/2014/main" id="{D2328783-3937-4D69-A009-B728BA81FD90}"/>
            </a:ext>
          </a:extLst>
        </xdr:cNvPr>
        <xdr:cNvSpPr txBox="1"/>
      </xdr:nvSpPr>
      <xdr:spPr>
        <a:xfrm>
          <a:off x="456727" y="4987266"/>
          <a:ext cx="5906234" cy="672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52000" marR="0" lvl="0" indent="-252000" defTabSz="914400" eaLnBrk="1" fontAlgn="auto" latinLnBrk="0" hangingPunct="1">
            <a:lnSpc>
              <a:spcPct val="100000"/>
            </a:lnSpc>
            <a:spcBef>
              <a:spcPts val="0"/>
            </a:spcBef>
            <a:spcAft>
              <a:spcPts val="600"/>
            </a:spcAft>
            <a:buClrTx/>
            <a:buSzPct val="150000"/>
            <a:buFontTx/>
            <a:buBlip>
              <a:blip xmlns:r="http://schemas.openxmlformats.org/officeDocument/2006/relationships" r:embed="rId1"/>
            </a:buBlip>
            <a:tabLst/>
            <a:defRPr/>
          </a:pPr>
          <a:r>
            <a:rPr lang="en-US" sz="1200" b="0" i="0" baseline="0">
              <a:solidFill>
                <a:schemeClr val="accent5">
                  <a:lumMod val="50000"/>
                </a:schemeClr>
              </a:solidFill>
              <a:effectLst/>
              <a:latin typeface="Aptos" panose="020B0004020202020204" pitchFamily="34" charset="0"/>
              <a:ea typeface="+mn-ea"/>
              <a:cs typeface="+mn-cs"/>
            </a:rPr>
            <a:t>If you </a:t>
          </a:r>
          <a:r>
            <a:rPr lang="en-US" sz="1200" b="0" i="0" u="none" strike="noStrike" baseline="0">
              <a:solidFill>
                <a:schemeClr val="accent5">
                  <a:lumMod val="50000"/>
                </a:schemeClr>
              </a:solidFill>
              <a:latin typeface="Aptos" panose="020B0004020202020204" pitchFamily="34" charset="0"/>
              <a:ea typeface="+mn-ea"/>
              <a:cs typeface="+mn-cs"/>
            </a:rPr>
            <a:t>find any bug in the tool please </a:t>
          </a:r>
          <a:r>
            <a:rPr lang="en-US" sz="1200" b="0" i="0" baseline="0">
              <a:solidFill>
                <a:schemeClr val="accent5">
                  <a:lumMod val="50000"/>
                </a:schemeClr>
              </a:solidFill>
              <a:effectLst/>
              <a:latin typeface="Aptos" panose="020B0004020202020204" pitchFamily="34" charset="0"/>
              <a:ea typeface="+mn-ea"/>
              <a:cs typeface="+mn-cs"/>
            </a:rPr>
            <a:t>report it in this email: </a:t>
          </a:r>
          <a:r>
            <a:rPr lang="en-US" sz="1200" b="0" i="0" baseline="0">
              <a:solidFill>
                <a:srgbClr val="7030A0"/>
              </a:solidFill>
              <a:effectLst/>
              <a:latin typeface="Aptos" panose="020B0004020202020204" pitchFamily="34" charset="0"/>
              <a:ea typeface="+mn-ea"/>
              <a:cs typeface="+mn-cs"/>
            </a:rPr>
            <a:t>hmaras@regea.org</a:t>
          </a:r>
          <a:r>
            <a:rPr lang="hr-HR" sz="1200" b="0" i="0" baseline="0">
              <a:solidFill>
                <a:srgbClr val="7030A0"/>
              </a:solidFill>
              <a:effectLst/>
              <a:latin typeface="Aptos" panose="020B0004020202020204" pitchFamily="34" charset="0"/>
              <a:ea typeface="+mn-ea"/>
              <a:cs typeface="+mn-cs"/>
            </a:rPr>
            <a:t> </a:t>
          </a:r>
          <a:r>
            <a:rPr lang="en-GB" sz="1200" baseline="0">
              <a:solidFill>
                <a:schemeClr val="accent5">
                  <a:lumMod val="50000"/>
                </a:schemeClr>
              </a:solidFill>
              <a:latin typeface="Aptos" panose="020B0004020202020204" pitchFamily="34" charset="0"/>
            </a:rPr>
            <a:t>using "Excel tools bug reporting" as subject</a:t>
          </a:r>
          <a:endParaRPr lang="en-US" sz="1200" b="0" i="0" baseline="0">
            <a:solidFill>
              <a:schemeClr val="accent5">
                <a:lumMod val="50000"/>
              </a:schemeClr>
            </a:solidFill>
            <a:effectLst/>
            <a:latin typeface="Aptos" panose="020B0004020202020204" pitchFamily="34" charset="0"/>
            <a:ea typeface="+mn-ea"/>
            <a:cs typeface="+mn-cs"/>
          </a:endParaRPr>
        </a:p>
      </xdr:txBody>
    </xdr:sp>
    <xdr:clientData/>
  </xdr:twoCellAnchor>
  <xdr:twoCellAnchor>
    <xdr:from>
      <xdr:col>1</xdr:col>
      <xdr:colOff>130808</xdr:colOff>
      <xdr:row>28</xdr:row>
      <xdr:rowOff>45757</xdr:rowOff>
    </xdr:from>
    <xdr:to>
      <xdr:col>10</xdr:col>
      <xdr:colOff>425336</xdr:colOff>
      <xdr:row>35</xdr:row>
      <xdr:rowOff>127461</xdr:rowOff>
    </xdr:to>
    <xdr:sp macro="" textlink="">
      <xdr:nvSpPr>
        <xdr:cNvPr id="107" name="Rectangle 106">
          <a:extLst>
            <a:ext uri="{FF2B5EF4-FFF2-40B4-BE49-F238E27FC236}">
              <a16:creationId xmlns:a16="http://schemas.microsoft.com/office/drawing/2014/main" id="{A0DA82CA-966E-47DC-A5D5-E2D29E175FA6}"/>
            </a:ext>
          </a:extLst>
        </xdr:cNvPr>
        <xdr:cNvSpPr/>
      </xdr:nvSpPr>
      <xdr:spPr>
        <a:xfrm>
          <a:off x="416558" y="4490757"/>
          <a:ext cx="6009528" cy="1192954"/>
        </a:xfrm>
        <a:prstGeom prst="rect">
          <a:avLst/>
        </a:prstGeom>
        <a:noFill/>
        <a:ln w="28575">
          <a:solidFill>
            <a:schemeClr val="accent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ln w="9525">
              <a:solidFill>
                <a:schemeClr val="tx1"/>
              </a:solidFill>
            </a:ln>
          </a:endParaRPr>
        </a:p>
      </xdr:txBody>
    </xdr:sp>
    <xdr:clientData/>
  </xdr:twoCellAnchor>
  <xdr:twoCellAnchor>
    <xdr:from>
      <xdr:col>1</xdr:col>
      <xdr:colOff>39556</xdr:colOff>
      <xdr:row>4</xdr:row>
      <xdr:rowOff>56476</xdr:rowOff>
    </xdr:from>
    <xdr:to>
      <xdr:col>12</xdr:col>
      <xdr:colOff>165100</xdr:colOff>
      <xdr:row>27</xdr:row>
      <xdr:rowOff>101600</xdr:rowOff>
    </xdr:to>
    <xdr:sp macro="" textlink="">
      <xdr:nvSpPr>
        <xdr:cNvPr id="108" name="TextBox 107">
          <a:extLst>
            <a:ext uri="{FF2B5EF4-FFF2-40B4-BE49-F238E27FC236}">
              <a16:creationId xmlns:a16="http://schemas.microsoft.com/office/drawing/2014/main" id="{1DA0416C-0CC9-41A8-9864-041C9B7F1269}"/>
            </a:ext>
          </a:extLst>
        </xdr:cNvPr>
        <xdr:cNvSpPr txBox="1"/>
      </xdr:nvSpPr>
      <xdr:spPr>
        <a:xfrm>
          <a:off x="325306" y="691476"/>
          <a:ext cx="7110544" cy="3696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52000" indent="-252000" algn="l">
            <a:spcAft>
              <a:spcPts val="600"/>
            </a:spcAft>
            <a:buSzPct val="150000"/>
            <a:buFontTx/>
            <a:buBlip>
              <a:blip xmlns:r="http://schemas.openxmlformats.org/officeDocument/2006/relationships" r:embed="rId1"/>
            </a:buBlip>
          </a:pPr>
          <a:endParaRPr lang="en-US" sz="1400" b="0" i="0" u="none" strike="noStrike" baseline="0">
            <a:solidFill>
              <a:schemeClr val="bg1"/>
            </a:solidFill>
            <a:latin typeface="+mn-lt"/>
            <a:ea typeface="+mn-ea"/>
            <a:cs typeface="+mn-cs"/>
          </a:endParaRPr>
        </a:p>
        <a:p>
          <a:pPr marL="252000" indent="-252000" algn="l">
            <a:spcAft>
              <a:spcPts val="600"/>
            </a:spcAft>
            <a:buSzPct val="150000"/>
            <a:buFontTx/>
            <a:buBlip>
              <a:blip xmlns:r="http://schemas.openxmlformats.org/officeDocument/2006/relationships" r:embed="rId1"/>
            </a:buBlip>
          </a:pPr>
          <a:r>
            <a:rPr lang="en-US" sz="1200" b="0" i="0" u="none" strike="noStrike" baseline="0">
              <a:solidFill>
                <a:schemeClr val="accent5">
                  <a:lumMod val="50000"/>
                </a:schemeClr>
              </a:solidFill>
              <a:latin typeface="Aptos" panose="020B0004020202020204" pitchFamily="34" charset="0"/>
              <a:ea typeface="+mn-ea"/>
              <a:cs typeface="+mn-cs"/>
            </a:rPr>
            <a:t>This tool has been developed as part of the Interreg </a:t>
          </a:r>
          <a:r>
            <a:rPr lang="hr-HR" sz="1200" b="0" i="0" u="none" strike="noStrike" baseline="0">
              <a:solidFill>
                <a:schemeClr val="accent5">
                  <a:lumMod val="50000"/>
                </a:schemeClr>
              </a:solidFill>
              <a:latin typeface="Aptos" panose="020B0004020202020204" pitchFamily="34" charset="0"/>
              <a:ea typeface="+mn-ea"/>
              <a:cs typeface="+mn-cs"/>
            </a:rPr>
            <a:t>Euro-MED INFIRE project </a:t>
          </a:r>
        </a:p>
        <a:p>
          <a:pPr marL="252000" indent="-252000" algn="l">
            <a:spcAft>
              <a:spcPts val="600"/>
            </a:spcAft>
            <a:buSzPct val="150000"/>
            <a:buFontTx/>
            <a:buBlip>
              <a:blip xmlns:r="http://schemas.openxmlformats.org/officeDocument/2006/relationships" r:embed="rId1"/>
            </a:buBlip>
          </a:pPr>
          <a:r>
            <a:rPr lang="en-US" sz="1200" b="0" i="0" u="none" strike="noStrike" baseline="0">
              <a:solidFill>
                <a:schemeClr val="accent5">
                  <a:lumMod val="50000"/>
                </a:schemeClr>
              </a:solidFill>
              <a:latin typeface="Aptos" panose="020B0004020202020204" pitchFamily="34" charset="0"/>
              <a:ea typeface="+mn-ea"/>
              <a:cs typeface="+mn-cs"/>
            </a:rPr>
            <a:t>to assist in the financial and economic evaluation of projects, particularly within the green building sector. It assesses projects'and evaluates their suitability for various financing models. The tool is provided in good faith and is intended for use at the user's own risk and responsibility.</a:t>
          </a:r>
        </a:p>
        <a:p>
          <a:pPr marL="252000" indent="-252000" algn="l">
            <a:spcAft>
              <a:spcPts val="600"/>
            </a:spcAft>
            <a:buSzPct val="150000"/>
            <a:buFontTx/>
            <a:buBlip>
              <a:blip xmlns:r="http://schemas.openxmlformats.org/officeDocument/2006/relationships" r:embed="rId1"/>
            </a:buBlip>
          </a:pPr>
          <a:r>
            <a:rPr lang="hr-HR" sz="1200" b="0" i="0" u="none" strike="noStrike" baseline="0">
              <a:solidFill>
                <a:schemeClr val="accent5">
                  <a:lumMod val="50000"/>
                </a:schemeClr>
              </a:solidFill>
              <a:latin typeface="Aptos" panose="020B0004020202020204" pitchFamily="34" charset="0"/>
              <a:ea typeface="+mn-ea"/>
              <a:cs typeface="+mn-cs"/>
            </a:rPr>
            <a:t>REGEA does not warrant the accuracy, completeness, or reliability of the information, assessments, or outputs generated by this toolbox. REGEA assumes no legal liability or responsibility, whether direct or indirect, for any damages, losses, or claims arising from or in connection with the use of or reliance on the information contained in this toolbox.</a:t>
          </a:r>
        </a:p>
        <a:p>
          <a:pPr marL="252000" indent="-252000" algn="l">
            <a:spcAft>
              <a:spcPts val="600"/>
            </a:spcAft>
            <a:buSzPct val="150000"/>
            <a:buFontTx/>
            <a:buBlip>
              <a:blip xmlns:r="http://schemas.openxmlformats.org/officeDocument/2006/relationships" r:embed="rId1"/>
            </a:buBlip>
          </a:pPr>
          <a:r>
            <a:rPr lang="hr-HR" sz="1200" b="0" i="0" u="none" strike="noStrike" baseline="0">
              <a:solidFill>
                <a:schemeClr val="accent5">
                  <a:lumMod val="50000"/>
                </a:schemeClr>
              </a:solidFill>
              <a:latin typeface="Aptos" panose="020B0004020202020204" pitchFamily="34" charset="0"/>
              <a:ea typeface="+mn-ea"/>
              <a:cs typeface="+mn-cs"/>
            </a:rPr>
            <a:t>REGEA retains copyright to this tool. Permission is granted to distribute this tool in its entirety for non-commercial purposes and without fee, provided that REGEA is acknowledged as the source.</a:t>
          </a:r>
        </a:p>
        <a:p>
          <a:pPr marL="252000" indent="-252000" algn="l">
            <a:spcAft>
              <a:spcPts val="600"/>
            </a:spcAft>
            <a:buSzPct val="150000"/>
            <a:buFontTx/>
            <a:buBlip>
              <a:blip xmlns:r="http://schemas.openxmlformats.org/officeDocument/2006/relationships" r:embed="rId1"/>
            </a:buBlip>
          </a:pPr>
          <a:r>
            <a:rPr lang="hr-HR" sz="1200" b="0" i="0" u="none" strike="noStrike" baseline="0">
              <a:solidFill>
                <a:schemeClr val="accent5">
                  <a:lumMod val="50000"/>
                </a:schemeClr>
              </a:solidFill>
              <a:latin typeface="Aptos" panose="020B0004020202020204" pitchFamily="34" charset="0"/>
              <a:ea typeface="+mn-ea"/>
              <a:cs typeface="+mn-cs"/>
            </a:rPr>
            <a:t>Developed in MS Excel, this toolbox has not been tested in other spreadsheet applications. Therefore, it may not function properly in alternative spreadsheet software.</a:t>
          </a:r>
        </a:p>
        <a:p>
          <a:pPr marL="252000" indent="-252000" algn="l">
            <a:spcAft>
              <a:spcPts val="600"/>
            </a:spcAft>
            <a:buSzPct val="150000"/>
            <a:buFontTx/>
            <a:buBlip>
              <a:blip xmlns:r="http://schemas.openxmlformats.org/officeDocument/2006/relationships" r:embed="rId1"/>
            </a:buBlip>
          </a:pPr>
          <a:r>
            <a:rPr lang="hr-HR" sz="1200" b="0" i="0" u="none" strike="noStrike" baseline="0">
              <a:solidFill>
                <a:schemeClr val="accent5">
                  <a:lumMod val="50000"/>
                </a:schemeClr>
              </a:solidFill>
              <a:latin typeface="Aptos" panose="020B0004020202020204" pitchFamily="34" charset="0"/>
              <a:ea typeface="+mn-ea"/>
              <a:cs typeface="+mn-cs"/>
            </a:rPr>
            <a:t>The assessments and results produced by this tool do not necessarily reflect the views or opinions of REGEA or the Interreg Euro-MED programme.</a:t>
          </a:r>
        </a:p>
        <a:p>
          <a:pPr marL="252000" indent="-252000" algn="l">
            <a:spcAft>
              <a:spcPts val="600"/>
            </a:spcAft>
            <a:buSzPct val="150000"/>
            <a:buFontTx/>
            <a:buBlip>
              <a:blip xmlns:r="http://schemas.openxmlformats.org/officeDocument/2006/relationships" r:embed="rId1"/>
            </a:buBlip>
          </a:pPr>
          <a:r>
            <a:rPr lang="hr-HR" sz="1200" b="0" i="0" u="none" strike="noStrike" baseline="0">
              <a:solidFill>
                <a:schemeClr val="accent5">
                  <a:lumMod val="50000"/>
                </a:schemeClr>
              </a:solidFill>
              <a:latin typeface="Aptos" panose="020B0004020202020204" pitchFamily="34" charset="0"/>
              <a:ea typeface="+mn-ea"/>
              <a:cs typeface="+mn-cs"/>
            </a:rPr>
            <a:t>By using this tool, the user acknowledges and agrees to the terms outlined in this disclaimer.</a:t>
          </a:r>
          <a:br>
            <a:rPr lang="en-GB" sz="1200">
              <a:solidFill>
                <a:schemeClr val="accent5">
                  <a:lumMod val="50000"/>
                </a:schemeClr>
              </a:solidFill>
            </a:rPr>
          </a:b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r>
            <a:rPr lang="en-GB" sz="1200" b="0" i="0" u="none" strike="noStrike">
              <a:solidFill>
                <a:schemeClr val="accent5">
                  <a:lumMod val="50000"/>
                </a:schemeClr>
              </a:solidFill>
              <a:effectLst/>
              <a:latin typeface="+mn-lt"/>
              <a:ea typeface="+mn-ea"/>
              <a:cs typeface="+mn-cs"/>
            </a:rPr>
            <a:t> </a:t>
          </a:r>
          <a:r>
            <a:rPr lang="en-GB" sz="1200">
              <a:solidFill>
                <a:schemeClr val="accent5">
                  <a:lumMod val="50000"/>
                </a:schemeClr>
              </a:solidFill>
            </a:rPr>
            <a:t> </a:t>
          </a:r>
          <a:endParaRPr lang="en-GB" sz="1200" b="0" i="0" u="none" strike="noStrike" baseline="0">
            <a:solidFill>
              <a:schemeClr val="accent5">
                <a:lumMod val="50000"/>
              </a:schemeClr>
            </a:solidFill>
            <a:latin typeface="+mn-lt"/>
            <a:ea typeface="+mn-ea"/>
            <a:cs typeface="+mn-cs"/>
          </a:endParaRPr>
        </a:p>
        <a:p>
          <a:pPr marL="252000" indent="-252000" algn="l">
            <a:spcAft>
              <a:spcPts val="600"/>
            </a:spcAft>
            <a:buSzPct val="150000"/>
            <a:buFontTx/>
            <a:buBlip>
              <a:blip xmlns:r="http://schemas.openxmlformats.org/officeDocument/2006/relationships" r:embed="rId1"/>
            </a:buBlip>
          </a:pPr>
          <a:endParaRPr lang="en-US" sz="1100" b="0" i="0" u="none" strike="noStrike" baseline="0">
            <a:solidFill>
              <a:schemeClr val="bg1"/>
            </a:solidFill>
            <a:latin typeface="+mn-lt"/>
            <a:ea typeface="+mn-ea"/>
            <a:cs typeface="+mn-cs"/>
          </a:endParaRPr>
        </a:p>
      </xdr:txBody>
    </xdr:sp>
    <xdr:clientData/>
  </xdr:twoCellAnchor>
  <xdr:twoCellAnchor editAs="oneCell">
    <xdr:from>
      <xdr:col>12</xdr:col>
      <xdr:colOff>201932</xdr:colOff>
      <xdr:row>1</xdr:row>
      <xdr:rowOff>6350</xdr:rowOff>
    </xdr:from>
    <xdr:to>
      <xdr:col>33</xdr:col>
      <xdr:colOff>66819</xdr:colOff>
      <xdr:row>36</xdr:row>
      <xdr:rowOff>0</xdr:rowOff>
    </xdr:to>
    <xdr:pic>
      <xdr:nvPicPr>
        <xdr:cNvPr id="3" name="Picture 2">
          <a:extLst>
            <a:ext uri="{FF2B5EF4-FFF2-40B4-BE49-F238E27FC236}">
              <a16:creationId xmlns:a16="http://schemas.microsoft.com/office/drawing/2014/main" id="{B3145208-753A-4066-91B6-A793BD5FC1B5}"/>
            </a:ext>
          </a:extLst>
        </xdr:cNvPr>
        <xdr:cNvPicPr>
          <a:picLocks noChangeAspect="1"/>
        </xdr:cNvPicPr>
      </xdr:nvPicPr>
      <xdr:blipFill>
        <a:blip xmlns:r="http://schemas.openxmlformats.org/officeDocument/2006/relationships" r:embed="rId2"/>
        <a:stretch>
          <a:fillRect/>
        </a:stretch>
      </xdr:blipFill>
      <xdr:spPr>
        <a:xfrm>
          <a:off x="7472682" y="165100"/>
          <a:ext cx="13199887" cy="5543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390525</xdr:colOff>
      <xdr:row>10</xdr:row>
      <xdr:rowOff>28575</xdr:rowOff>
    </xdr:from>
    <xdr:ext cx="184731" cy="264560"/>
    <xdr:sp macro="" textlink="">
      <xdr:nvSpPr>
        <xdr:cNvPr id="2" name="TextBox 1">
          <a:extLst>
            <a:ext uri="{FF2B5EF4-FFF2-40B4-BE49-F238E27FC236}">
              <a16:creationId xmlns:a16="http://schemas.microsoft.com/office/drawing/2014/main" id="{F86D5692-8269-4188-A620-08C1F796489A}"/>
            </a:ext>
          </a:extLst>
        </xdr:cNvPr>
        <xdr:cNvSpPr txBox="1"/>
      </xdr:nvSpPr>
      <xdr:spPr>
        <a:xfrm>
          <a:off x="2955925" y="7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1</xdr:col>
      <xdr:colOff>69931</xdr:colOff>
      <xdr:row>0</xdr:row>
      <xdr:rowOff>201047</xdr:rowOff>
    </xdr:from>
    <xdr:to>
      <xdr:col>10</xdr:col>
      <xdr:colOff>406400</xdr:colOff>
      <xdr:row>2</xdr:row>
      <xdr:rowOff>190500</xdr:rowOff>
    </xdr:to>
    <xdr:sp macro="" textlink="">
      <xdr:nvSpPr>
        <xdr:cNvPr id="3" name="TextBox 2">
          <a:extLst>
            <a:ext uri="{FF2B5EF4-FFF2-40B4-BE49-F238E27FC236}">
              <a16:creationId xmlns:a16="http://schemas.microsoft.com/office/drawing/2014/main" id="{236494C7-6CD6-4213-AEC4-B3B2E1C82C20}"/>
            </a:ext>
          </a:extLst>
        </xdr:cNvPr>
        <xdr:cNvSpPr txBox="1"/>
      </xdr:nvSpPr>
      <xdr:spPr>
        <a:xfrm>
          <a:off x="704931" y="201047"/>
          <a:ext cx="6051469" cy="687953"/>
        </a:xfrm>
        <a:prstGeom prst="rect">
          <a:avLst/>
        </a:prstGeom>
        <a:solidFill>
          <a:srgbClr val="31869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800" b="1" i="0" baseline="0">
              <a:solidFill>
                <a:schemeClr val="bg1"/>
              </a:solidFill>
              <a:effectLst/>
              <a:latin typeface="Aptos" panose="020B0004020202020204" pitchFamily="34" charset="0"/>
              <a:ea typeface="+mn-ea"/>
              <a:cs typeface="+mn-cs"/>
            </a:rPr>
            <a:t>HOW TO USE FINANCIAL AND ECONOMIC </a:t>
          </a:r>
          <a:endParaRPr lang="hr-HR" sz="1800" b="1" i="0" baseline="0">
            <a:solidFill>
              <a:schemeClr val="bg1"/>
            </a:solidFill>
            <a:effectLst/>
            <a:latin typeface="Aptos" panose="020B0004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US" sz="1800" b="1" i="0" baseline="0">
              <a:solidFill>
                <a:schemeClr val="bg1"/>
              </a:solidFill>
              <a:effectLst/>
              <a:latin typeface="Aptos" panose="020B0004020202020204" pitchFamily="34" charset="0"/>
              <a:ea typeface="+mn-ea"/>
              <a:cs typeface="+mn-cs"/>
            </a:rPr>
            <a:t>EVALUATION TOOLBOX</a:t>
          </a:r>
          <a:endParaRPr lang="hr-HR" sz="1800">
            <a:solidFill>
              <a:schemeClr val="bg1"/>
            </a:solidFill>
            <a:effectLst/>
            <a:latin typeface="Aptos" panose="020B0004020202020204" pitchFamily="34" charset="0"/>
          </a:endParaRPr>
        </a:p>
      </xdr:txBody>
    </xdr:sp>
    <xdr:clientData/>
  </xdr:twoCellAnchor>
  <xdr:twoCellAnchor>
    <xdr:from>
      <xdr:col>2</xdr:col>
      <xdr:colOff>285750</xdr:colOff>
      <xdr:row>3</xdr:row>
      <xdr:rowOff>36829</xdr:rowOff>
    </xdr:from>
    <xdr:to>
      <xdr:col>7</xdr:col>
      <xdr:colOff>114300</xdr:colOff>
      <xdr:row>5</xdr:row>
      <xdr:rowOff>46989</xdr:rowOff>
    </xdr:to>
    <xdr:sp macro="" textlink="">
      <xdr:nvSpPr>
        <xdr:cNvPr id="7" name="TextBox 6">
          <a:extLst>
            <a:ext uri="{FF2B5EF4-FFF2-40B4-BE49-F238E27FC236}">
              <a16:creationId xmlns:a16="http://schemas.microsoft.com/office/drawing/2014/main" id="{B531023F-6DBA-4B44-8728-835CEDE7F877}"/>
            </a:ext>
          </a:extLst>
        </xdr:cNvPr>
        <xdr:cNvSpPr txBox="1"/>
      </xdr:nvSpPr>
      <xdr:spPr>
        <a:xfrm>
          <a:off x="1555750" y="1052829"/>
          <a:ext cx="3003550" cy="416560"/>
        </a:xfrm>
        <a:prstGeom prst="rect">
          <a:avLst/>
        </a:prstGeom>
        <a:noFill/>
        <a:ln w="28575">
          <a:solidFill>
            <a:schemeClr val="accent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l"/>
          <a:r>
            <a:rPr lang="en-US" sz="1400" b="1" i="0" u="none" strike="noStrike" baseline="0">
              <a:solidFill>
                <a:schemeClr val="accent5">
                  <a:lumMod val="50000"/>
                </a:schemeClr>
              </a:solidFill>
              <a:latin typeface="Aptos" panose="020B0004020202020204" pitchFamily="34" charset="0"/>
              <a:ea typeface="Roboto" panose="02000000000000000000" pitchFamily="2" charset="0"/>
              <a:cs typeface="Roboto" panose="02000000000000000000" pitchFamily="2" charset="0"/>
            </a:rPr>
            <a:t>GETTING STARTED</a:t>
          </a:r>
        </a:p>
      </xdr:txBody>
    </xdr:sp>
    <xdr:clientData/>
  </xdr:twoCellAnchor>
  <xdr:twoCellAnchor>
    <xdr:from>
      <xdr:col>2</xdr:col>
      <xdr:colOff>631</xdr:colOff>
      <xdr:row>5</xdr:row>
      <xdr:rowOff>132716</xdr:rowOff>
    </xdr:from>
    <xdr:to>
      <xdr:col>16</xdr:col>
      <xdr:colOff>66675</xdr:colOff>
      <xdr:row>21</xdr:row>
      <xdr:rowOff>0</xdr:rowOff>
    </xdr:to>
    <xdr:sp macro="" textlink="">
      <xdr:nvSpPr>
        <xdr:cNvPr id="8" name="TextBox 7">
          <a:extLst>
            <a:ext uri="{FF2B5EF4-FFF2-40B4-BE49-F238E27FC236}">
              <a16:creationId xmlns:a16="http://schemas.microsoft.com/office/drawing/2014/main" id="{9A61D484-227E-444F-B3D4-D6854F2A749E}"/>
            </a:ext>
          </a:extLst>
        </xdr:cNvPr>
        <xdr:cNvSpPr txBox="1"/>
      </xdr:nvSpPr>
      <xdr:spPr>
        <a:xfrm>
          <a:off x="1257931" y="1532891"/>
          <a:ext cx="8867144" cy="2858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52000" indent="-252000" algn="l">
            <a:spcAft>
              <a:spcPts val="600"/>
            </a:spcAft>
            <a:buSzPct val="150000"/>
            <a:buFontTx/>
            <a:buBlip>
              <a:blip xmlns:r="http://schemas.openxmlformats.org/officeDocument/2006/relationships" r:embed="rId1"/>
            </a:buBlip>
          </a:pPr>
          <a:r>
            <a:rPr lang="hr-HR" sz="1200" b="0" i="0" u="none" strike="noStrike" baseline="0">
              <a:solidFill>
                <a:schemeClr val="accent5">
                  <a:lumMod val="50000"/>
                </a:schemeClr>
              </a:solidFill>
              <a:latin typeface="Aptos" panose="020B0004020202020204" pitchFamily="34" charset="0"/>
              <a:ea typeface="+mn-ea"/>
              <a:cs typeface="+mn-cs"/>
            </a:rPr>
            <a:t>Before using the toolbox to assess the financial feasibility and economic benefits of your project, follow these steps to ensure accurate and comprehensive results</a:t>
          </a:r>
          <a:r>
            <a:rPr lang="hr-HR" sz="1200" b="0" i="0" u="none" strike="noStrike" baseline="0">
              <a:solidFill>
                <a:schemeClr val="dk1"/>
              </a:solidFill>
              <a:effectLst/>
              <a:latin typeface="Aptos" panose="020B0004020202020204" pitchFamily="34" charset="0"/>
              <a:ea typeface="+mn-ea"/>
              <a:cs typeface="+mn-cs"/>
            </a:rPr>
            <a:t>.</a:t>
          </a:r>
          <a:endParaRPr lang="hr-HR" sz="1200" b="0" i="0" u="none" strike="noStrike" baseline="0">
            <a:solidFill>
              <a:schemeClr val="accent5">
                <a:lumMod val="50000"/>
              </a:schemeClr>
            </a:solidFill>
            <a:latin typeface="Aptos" panose="020B0004020202020204" pitchFamily="34" charset="0"/>
            <a:ea typeface="+mn-ea"/>
            <a:cs typeface="+mn-cs"/>
          </a:endParaRPr>
        </a:p>
        <a:p>
          <a:pPr marL="252000" indent="-252000" algn="l">
            <a:spcAft>
              <a:spcPts val="600"/>
            </a:spcAft>
            <a:buSzPct val="150000"/>
            <a:buFontTx/>
            <a:buBlip>
              <a:blip xmlns:r="http://schemas.openxmlformats.org/officeDocument/2006/relationships" r:embed="rId1"/>
            </a:buBlip>
          </a:pPr>
          <a:r>
            <a:rPr lang="en-US" sz="1200" b="0" i="0" u="none" strike="noStrike" baseline="0">
              <a:solidFill>
                <a:schemeClr val="accent5">
                  <a:lumMod val="50000"/>
                </a:schemeClr>
              </a:solidFill>
              <a:latin typeface="Aptos" panose="020B0004020202020204" pitchFamily="34" charset="0"/>
              <a:ea typeface="+mn-ea"/>
              <a:cs typeface="+mn-cs"/>
            </a:rPr>
            <a:t>Carefully examine the relevant technical documentation to understand the financial and economic parameters of your project. Identify and list the key components, specifying construction details and technical specifications where applicable.</a:t>
          </a:r>
          <a:endParaRPr lang="hr-HR" sz="1200" b="0" i="0" u="none" strike="noStrike" baseline="0">
            <a:solidFill>
              <a:schemeClr val="accent5">
                <a:lumMod val="50000"/>
              </a:schemeClr>
            </a:solidFill>
            <a:latin typeface="Aptos" panose="020B0004020202020204" pitchFamily="34" charset="0"/>
            <a:ea typeface="+mn-ea"/>
            <a:cs typeface="+mn-cs"/>
          </a:endParaRPr>
        </a:p>
        <a:p>
          <a:pPr marL="252000" indent="-252000" algn="l">
            <a:spcAft>
              <a:spcPts val="600"/>
            </a:spcAft>
            <a:buSzPct val="150000"/>
            <a:buFontTx/>
            <a:buBlip>
              <a:blip xmlns:r="http://schemas.openxmlformats.org/officeDocument/2006/relationships" r:embed="rId1"/>
            </a:buBlip>
          </a:pPr>
          <a:r>
            <a:rPr lang="en-US" sz="1200" b="0" i="0" u="none" strike="noStrike" baseline="0">
              <a:solidFill>
                <a:schemeClr val="accent5">
                  <a:lumMod val="50000"/>
                </a:schemeClr>
              </a:solidFill>
              <a:latin typeface="Aptos" panose="020B0004020202020204" pitchFamily="34" charset="0"/>
              <a:ea typeface="+mn-ea"/>
              <a:cs typeface="+mn-cs"/>
            </a:rPr>
            <a:t>Navigate to the INPUTS tab and enter the required values in the</a:t>
          </a:r>
          <a:r>
            <a:rPr lang="en-US" sz="1200" b="1" i="0" u="none" strike="noStrike" baseline="0">
              <a:solidFill>
                <a:schemeClr val="accent5">
                  <a:lumMod val="50000"/>
                </a:schemeClr>
              </a:solidFill>
              <a:latin typeface="Aptos" panose="020B0004020202020204" pitchFamily="34" charset="0"/>
              <a:ea typeface="+mn-ea"/>
              <a:cs typeface="+mn-cs"/>
            </a:rPr>
            <a:t> </a:t>
          </a:r>
          <a:r>
            <a:rPr lang="hr-HR" sz="1200" b="1" i="0" u="none" strike="noStrike" baseline="0">
              <a:solidFill>
                <a:schemeClr val="accent5">
                  <a:lumMod val="50000"/>
                </a:schemeClr>
              </a:solidFill>
              <a:latin typeface="Aptos" panose="020B0004020202020204" pitchFamily="34" charset="0"/>
              <a:ea typeface="+mn-ea"/>
              <a:cs typeface="+mn-cs"/>
            </a:rPr>
            <a:t>CELLS WITH BLUE BORDER</a:t>
          </a:r>
          <a:r>
            <a:rPr lang="en-US" sz="1200" b="0" i="0" u="none" strike="noStrike" baseline="0">
              <a:solidFill>
                <a:schemeClr val="accent5">
                  <a:lumMod val="50000"/>
                </a:schemeClr>
              </a:solidFill>
              <a:latin typeface="Aptos" panose="020B0004020202020204" pitchFamily="34" charset="0"/>
              <a:ea typeface="+mn-ea"/>
              <a:cs typeface="+mn-cs"/>
            </a:rPr>
            <a:t>. These cells contain default values as suggestions, which can be adjusted based on your project’s specifics.</a:t>
          </a:r>
        </a:p>
        <a:p>
          <a:pPr marL="252000" indent="-252000" algn="l">
            <a:spcAft>
              <a:spcPts val="600"/>
            </a:spcAft>
            <a:buSzPct val="150000"/>
            <a:buFontTx/>
            <a:buBlip>
              <a:blip xmlns:r="http://schemas.openxmlformats.org/officeDocument/2006/relationships" r:embed="rId1"/>
            </a:buBlip>
          </a:pPr>
          <a:r>
            <a:rPr lang="en-US" sz="1200" b="0" i="0" u="none" strike="noStrike" baseline="0">
              <a:solidFill>
                <a:schemeClr val="accent5">
                  <a:lumMod val="50000"/>
                </a:schemeClr>
              </a:solidFill>
              <a:latin typeface="Aptos" panose="020B0004020202020204" pitchFamily="34" charset="0"/>
              <a:ea typeface="+mn-ea"/>
              <a:cs typeface="+mn-cs"/>
            </a:rPr>
            <a:t>Additional </a:t>
          </a:r>
          <a:r>
            <a:rPr lang="hr-HR" sz="1200" b="0" i="0" u="none" strike="noStrike" baseline="0">
              <a:solidFill>
                <a:schemeClr val="accent5">
                  <a:lumMod val="50000"/>
                </a:schemeClr>
              </a:solidFill>
              <a:latin typeface="Aptos" panose="020B0004020202020204" pitchFamily="34" charset="0"/>
              <a:ea typeface="+mn-ea"/>
              <a:cs typeface="+mn-cs"/>
            </a:rPr>
            <a:t>cells with blue border </a:t>
          </a:r>
          <a:r>
            <a:rPr lang="en-US" sz="1200" b="0" i="0" u="none" strike="noStrike" baseline="0">
              <a:solidFill>
                <a:schemeClr val="accent5">
                  <a:lumMod val="50000"/>
                </a:schemeClr>
              </a:solidFill>
              <a:latin typeface="Aptos" panose="020B0004020202020204" pitchFamily="34" charset="0"/>
              <a:ea typeface="+mn-ea"/>
              <a:cs typeface="+mn-cs"/>
            </a:rPr>
            <a:t>in other tabs ('</a:t>
          </a:r>
          <a:r>
            <a:rPr lang="hr-HR" sz="1200" b="0" i="0" u="none" strike="noStrike" baseline="0">
              <a:solidFill>
                <a:schemeClr val="accent5">
                  <a:lumMod val="50000"/>
                </a:schemeClr>
              </a:solidFill>
              <a:latin typeface="Aptos" panose="020B0004020202020204" pitchFamily="34" charset="0"/>
              <a:ea typeface="+mn-ea"/>
              <a:cs typeface="+mn-cs"/>
            </a:rPr>
            <a:t>Financial analysis</a:t>
          </a:r>
          <a:r>
            <a:rPr lang="en-US" sz="1200" b="0" i="0" u="none" strike="noStrike" baseline="0">
              <a:solidFill>
                <a:schemeClr val="accent5">
                  <a:lumMod val="50000"/>
                </a:schemeClr>
              </a:solidFill>
              <a:latin typeface="Aptos" panose="020B0004020202020204" pitchFamily="34" charset="0"/>
              <a:ea typeface="+mn-ea"/>
              <a:cs typeface="+mn-cs"/>
            </a:rPr>
            <a:t>', '</a:t>
          </a:r>
          <a:r>
            <a:rPr lang="hr-HR" sz="1200" b="0" i="0" u="none" strike="noStrike" baseline="0">
              <a:solidFill>
                <a:schemeClr val="accent5">
                  <a:lumMod val="50000"/>
                </a:schemeClr>
              </a:solidFill>
              <a:latin typeface="Aptos" panose="020B0004020202020204" pitchFamily="34" charset="0"/>
              <a:ea typeface="+mn-ea"/>
              <a:cs typeface="+mn-cs"/>
            </a:rPr>
            <a:t>Dashboard</a:t>
          </a:r>
          <a:r>
            <a:rPr lang="en-US" sz="1200" b="0" i="0" u="none" strike="noStrike" baseline="0">
              <a:solidFill>
                <a:schemeClr val="accent5">
                  <a:lumMod val="50000"/>
                </a:schemeClr>
              </a:solidFill>
              <a:latin typeface="Aptos" panose="020B0004020202020204" pitchFamily="34" charset="0"/>
              <a:ea typeface="+mn-ea"/>
              <a:cs typeface="+mn-cs"/>
            </a:rPr>
            <a:t>'</a:t>
          </a:r>
          <a:r>
            <a:rPr lang="hr-HR" sz="1200" b="0" i="0" u="none" strike="noStrike" baseline="0">
              <a:solidFill>
                <a:schemeClr val="accent5">
                  <a:lumMod val="50000"/>
                </a:schemeClr>
              </a:solidFill>
              <a:latin typeface="Aptos" panose="020B0004020202020204" pitchFamily="34" charset="0"/>
              <a:ea typeface="+mn-ea"/>
              <a:cs typeface="+mn-cs"/>
            </a:rPr>
            <a:t>, </a:t>
          </a:r>
          <a:r>
            <a:rPr lang="en-US" sz="1200" b="0" i="0" u="none" strike="noStrike" baseline="0">
              <a:solidFill>
                <a:schemeClr val="accent5">
                  <a:lumMod val="50000"/>
                </a:schemeClr>
              </a:solidFill>
              <a:latin typeface="Aptos" panose="020B0004020202020204" pitchFamily="34" charset="0"/>
              <a:ea typeface="+mn-ea"/>
              <a:cs typeface="+mn-cs"/>
            </a:rPr>
            <a:t>'</a:t>
          </a:r>
          <a:r>
            <a:rPr lang="hr-HR" sz="1200" b="0" i="0" u="none" strike="noStrike" baseline="0">
              <a:solidFill>
                <a:schemeClr val="accent5">
                  <a:lumMod val="50000"/>
                </a:schemeClr>
              </a:solidFill>
              <a:latin typeface="Aptos" panose="020B0004020202020204" pitchFamily="34" charset="0"/>
              <a:ea typeface="+mn-ea"/>
              <a:cs typeface="+mn-cs"/>
            </a:rPr>
            <a:t>Standard Loan</a:t>
          </a:r>
          <a:r>
            <a:rPr lang="en-US" sz="1200" b="0" i="0" u="none" strike="noStrike" baseline="0">
              <a:solidFill>
                <a:schemeClr val="accent5">
                  <a:lumMod val="50000"/>
                </a:schemeClr>
              </a:solidFill>
              <a:latin typeface="Aptos" panose="020B0004020202020204" pitchFamily="34" charset="0"/>
              <a:ea typeface="+mn-ea"/>
              <a:cs typeface="+mn-cs"/>
            </a:rPr>
            <a:t>', '</a:t>
          </a:r>
          <a:r>
            <a:rPr lang="hr-HR" sz="1200" b="0" i="0" u="none" strike="noStrike" baseline="0">
              <a:solidFill>
                <a:schemeClr val="accent5">
                  <a:lumMod val="50000"/>
                </a:schemeClr>
              </a:solidFill>
              <a:latin typeface="Aptos" panose="020B0004020202020204" pitchFamily="34" charset="0"/>
              <a:ea typeface="+mn-ea"/>
              <a:cs typeface="+mn-cs"/>
            </a:rPr>
            <a:t>Loan + Grant</a:t>
          </a:r>
          <a:r>
            <a:rPr lang="en-US" sz="1200" b="0" i="0" u="none" strike="noStrike" baseline="0">
              <a:solidFill>
                <a:schemeClr val="accent5">
                  <a:lumMod val="50000"/>
                </a:schemeClr>
              </a:solidFill>
              <a:latin typeface="Aptos" panose="020B0004020202020204" pitchFamily="34" charset="0"/>
              <a:ea typeface="+mn-ea"/>
              <a:cs typeface="+mn-cs"/>
            </a:rPr>
            <a:t>', '</a:t>
          </a:r>
          <a:r>
            <a:rPr lang="hr-HR" sz="1200" b="0" i="0" u="none" strike="noStrike" baseline="0">
              <a:solidFill>
                <a:schemeClr val="accent5">
                  <a:lumMod val="50000"/>
                </a:schemeClr>
              </a:solidFill>
              <a:latin typeface="Aptos" panose="020B0004020202020204" pitchFamily="34" charset="0"/>
              <a:ea typeface="+mn-ea"/>
              <a:cs typeface="+mn-cs"/>
            </a:rPr>
            <a:t>Green Loan</a:t>
          </a:r>
          <a:r>
            <a:rPr lang="en-US" sz="1200" b="0" i="0" u="none" strike="noStrike" baseline="0">
              <a:solidFill>
                <a:schemeClr val="accent5">
                  <a:lumMod val="50000"/>
                </a:schemeClr>
              </a:solidFill>
              <a:latin typeface="Aptos" panose="020B0004020202020204" pitchFamily="34" charset="0"/>
              <a:ea typeface="+mn-ea"/>
              <a:cs typeface="+mn-cs"/>
            </a:rPr>
            <a:t>', '</a:t>
          </a:r>
          <a:r>
            <a:rPr lang="hr-HR" sz="1200" b="0" i="0" u="none" strike="noStrike" baseline="0">
              <a:solidFill>
                <a:schemeClr val="accent5">
                  <a:lumMod val="50000"/>
                </a:schemeClr>
              </a:solidFill>
              <a:latin typeface="Aptos" panose="020B0004020202020204" pitchFamily="34" charset="0"/>
              <a:ea typeface="+mn-ea"/>
              <a:cs typeface="+mn-cs"/>
            </a:rPr>
            <a:t>Capital Rebate Loan</a:t>
          </a:r>
          <a:r>
            <a:rPr lang="en-US" sz="1200" b="0" i="0" u="none" strike="noStrike" baseline="0">
              <a:solidFill>
                <a:schemeClr val="accent5">
                  <a:lumMod val="50000"/>
                </a:schemeClr>
              </a:solidFill>
              <a:latin typeface="Aptos" panose="020B0004020202020204" pitchFamily="34" charset="0"/>
              <a:ea typeface="+mn-ea"/>
              <a:cs typeface="+mn-cs"/>
            </a:rPr>
            <a:t>', '</a:t>
          </a:r>
          <a:r>
            <a:rPr lang="hr-HR" sz="1200" b="0" i="0" u="none" strike="noStrike" baseline="0">
              <a:solidFill>
                <a:schemeClr val="accent5">
                  <a:lumMod val="50000"/>
                </a:schemeClr>
              </a:solidFill>
              <a:latin typeface="Aptos" panose="020B0004020202020204" pitchFamily="34" charset="0"/>
              <a:ea typeface="+mn-ea"/>
              <a:cs typeface="+mn-cs"/>
            </a:rPr>
            <a:t>Bonds (Standard II)</a:t>
          </a:r>
          <a:r>
            <a:rPr lang="en-US" sz="1200" b="0" i="0" u="none" strike="noStrike" baseline="0">
              <a:solidFill>
                <a:schemeClr val="accent5">
                  <a:lumMod val="50000"/>
                </a:schemeClr>
              </a:solidFill>
              <a:latin typeface="Aptos" panose="020B0004020202020204" pitchFamily="34" charset="0"/>
              <a:ea typeface="+mn-ea"/>
              <a:cs typeface="+mn-cs"/>
            </a:rPr>
            <a:t>'</a:t>
          </a:r>
          <a:r>
            <a:rPr lang="hr-HR" sz="1200" b="0" i="0" u="none" strike="noStrike" baseline="0">
              <a:solidFill>
                <a:schemeClr val="accent5">
                  <a:lumMod val="50000"/>
                </a:schemeClr>
              </a:solidFill>
              <a:latin typeface="Aptos" panose="020B0004020202020204" pitchFamily="34" charset="0"/>
              <a:ea typeface="+mn-ea"/>
              <a:cs typeface="+mn-cs"/>
            </a:rPr>
            <a:t> and </a:t>
          </a:r>
          <a:r>
            <a:rPr lang="en-US" sz="1200" b="0" i="0" u="none" strike="noStrike" baseline="0">
              <a:solidFill>
                <a:schemeClr val="accent5">
                  <a:lumMod val="50000"/>
                </a:schemeClr>
              </a:solidFill>
              <a:latin typeface="Aptos" panose="020B0004020202020204" pitchFamily="34" charset="0"/>
              <a:ea typeface="+mn-ea"/>
              <a:cs typeface="+mn-cs"/>
            </a:rPr>
            <a:t>'</a:t>
          </a:r>
          <a:r>
            <a:rPr lang="hr-HR" sz="1200" b="0" i="0" u="none" strike="noStrike" baseline="0">
              <a:solidFill>
                <a:schemeClr val="accent5">
                  <a:lumMod val="50000"/>
                </a:schemeClr>
              </a:solidFill>
              <a:latin typeface="Aptos" panose="020B0004020202020204" pitchFamily="34" charset="0"/>
              <a:ea typeface="+mn-ea"/>
              <a:cs typeface="+mn-cs"/>
            </a:rPr>
            <a:t>Bonds (EuGBS-SLB)</a:t>
          </a:r>
          <a:r>
            <a:rPr lang="en-US" sz="1200" b="0" i="0" u="none" strike="noStrike" baseline="0">
              <a:solidFill>
                <a:schemeClr val="accent5">
                  <a:lumMod val="50000"/>
                </a:schemeClr>
              </a:solidFill>
              <a:latin typeface="Aptos" panose="020B0004020202020204" pitchFamily="34" charset="0"/>
              <a:ea typeface="+mn-ea"/>
              <a:cs typeface="+mn-cs"/>
            </a:rPr>
            <a:t>') also require input where applicable.</a:t>
          </a:r>
          <a:r>
            <a:rPr lang="hr-HR" sz="1200" b="0" i="0" u="none" strike="noStrike" baseline="0">
              <a:solidFill>
                <a:schemeClr val="accent5">
                  <a:lumMod val="50000"/>
                </a:schemeClr>
              </a:solidFill>
              <a:latin typeface="Aptos" panose="020B0004020202020204" pitchFamily="34" charset="0"/>
              <a:ea typeface="+mn-ea"/>
              <a:cs typeface="+mn-cs"/>
            </a:rPr>
            <a:t> These inputs are essential for simulating different financing models and calculating financial performance indicators.</a:t>
          </a:r>
        </a:p>
      </xdr:txBody>
    </xdr:sp>
    <xdr:clientData/>
  </xdr:twoCellAnchor>
  <xdr:twoCellAnchor>
    <xdr:from>
      <xdr:col>2</xdr:col>
      <xdr:colOff>267567</xdr:colOff>
      <xdr:row>22</xdr:row>
      <xdr:rowOff>0</xdr:rowOff>
    </xdr:from>
    <xdr:to>
      <xdr:col>5</xdr:col>
      <xdr:colOff>102871</xdr:colOff>
      <xdr:row>23</xdr:row>
      <xdr:rowOff>104775</xdr:rowOff>
    </xdr:to>
    <xdr:sp macro="" textlink="">
      <xdr:nvSpPr>
        <xdr:cNvPr id="12" name="TextBox 11">
          <a:extLst>
            <a:ext uri="{FF2B5EF4-FFF2-40B4-BE49-F238E27FC236}">
              <a16:creationId xmlns:a16="http://schemas.microsoft.com/office/drawing/2014/main" id="{4FAA9EED-1EC7-4E5C-9072-CE7C4CD9DE1A}"/>
            </a:ext>
          </a:extLst>
        </xdr:cNvPr>
        <xdr:cNvSpPr txBox="1"/>
      </xdr:nvSpPr>
      <xdr:spPr>
        <a:xfrm>
          <a:off x="1537567" y="4445000"/>
          <a:ext cx="1740304" cy="282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lang="en-US" sz="1400" b="1" i="0" u="none" strike="noStrike" baseline="0">
            <a:solidFill>
              <a:schemeClr val="accent5">
                <a:lumMod val="50000"/>
              </a:schemeClr>
            </a:solidFill>
            <a:latin typeface="Aptos" panose="020B0004020202020204" pitchFamily="34" charset="0"/>
            <a:ea typeface="Roboto" panose="02000000000000000000" pitchFamily="2" charset="0"/>
            <a:cs typeface="Roboto" panose="02000000000000000000" pitchFamily="2" charset="0"/>
          </a:endParaRPr>
        </a:p>
      </xdr:txBody>
    </xdr:sp>
    <xdr:clientData/>
  </xdr:twoCellAnchor>
  <xdr:twoCellAnchor>
    <xdr:from>
      <xdr:col>1</xdr:col>
      <xdr:colOff>571499</xdr:colOff>
      <xdr:row>24</xdr:row>
      <xdr:rowOff>21591</xdr:rowOff>
    </xdr:from>
    <xdr:to>
      <xdr:col>16</xdr:col>
      <xdr:colOff>190500</xdr:colOff>
      <xdr:row>36</xdr:row>
      <xdr:rowOff>139700</xdr:rowOff>
    </xdr:to>
    <xdr:sp macro="" textlink="">
      <xdr:nvSpPr>
        <xdr:cNvPr id="13" name="TextBox 12">
          <a:extLst>
            <a:ext uri="{FF2B5EF4-FFF2-40B4-BE49-F238E27FC236}">
              <a16:creationId xmlns:a16="http://schemas.microsoft.com/office/drawing/2014/main" id="{D38B6C94-8822-48C8-B41D-7A1AA49B8335}"/>
            </a:ext>
          </a:extLst>
        </xdr:cNvPr>
        <xdr:cNvSpPr txBox="1"/>
      </xdr:nvSpPr>
      <xdr:spPr>
        <a:xfrm>
          <a:off x="1206499" y="5177791"/>
          <a:ext cx="9144001" cy="42075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52000" marR="0" lvl="0" indent="-252000" defTabSz="914400" eaLnBrk="1" fontAlgn="auto" latinLnBrk="0" hangingPunct="1">
            <a:lnSpc>
              <a:spcPct val="100000"/>
            </a:lnSpc>
            <a:spcBef>
              <a:spcPts val="0"/>
            </a:spcBef>
            <a:spcAft>
              <a:spcPts val="600"/>
            </a:spcAft>
            <a:buClrTx/>
            <a:buSzPct val="150000"/>
            <a:buFontTx/>
            <a:buBlip>
              <a:blip xmlns:r="http://schemas.openxmlformats.org/officeDocument/2006/relationships" r:embed="rId1"/>
            </a:buBlip>
            <a:tabLst/>
            <a:defRPr/>
          </a:pPr>
          <a:r>
            <a:rPr lang="en-US" sz="1200" b="0" i="0" baseline="0">
              <a:solidFill>
                <a:schemeClr val="accent5">
                  <a:lumMod val="50000"/>
                </a:schemeClr>
              </a:solidFill>
              <a:effectLst/>
              <a:latin typeface="Aptos" panose="020B0004020202020204" pitchFamily="34" charset="0"/>
              <a:ea typeface="+mn-ea"/>
              <a:cs typeface="+mn-cs"/>
            </a:rPr>
            <a:t>The analysis is structured as follows:</a:t>
          </a:r>
          <a:endParaRPr lang="hr-HR" sz="1200" b="0" i="0" baseline="0">
            <a:solidFill>
              <a:schemeClr val="accent5">
                <a:lumMod val="50000"/>
              </a:schemeClr>
            </a:solidFill>
            <a:effectLst/>
            <a:latin typeface="Aptos" panose="020B0004020202020204" pitchFamily="34" charset="0"/>
            <a:ea typeface="+mn-ea"/>
            <a:cs typeface="+mn-cs"/>
          </a:endParaRPr>
        </a:p>
        <a:p>
          <a:pPr marL="628650" lvl="1" indent="-171450">
            <a:buFont typeface="Wingdings" panose="05000000000000000000" pitchFamily="2" charset="2"/>
            <a:buChar char="§"/>
          </a:pPr>
          <a:r>
            <a:rPr lang="hr-HR" sz="1200" b="0" i="0" baseline="0">
              <a:solidFill>
                <a:schemeClr val="accent5">
                  <a:lumMod val="50000"/>
                </a:schemeClr>
              </a:solidFill>
              <a:effectLst/>
              <a:latin typeface="Aptos" panose="020B0004020202020204" pitchFamily="34" charset="0"/>
              <a:ea typeface="+mn-ea"/>
              <a:cs typeface="+mn-cs"/>
            </a:rPr>
            <a:t>Once all necessary data is provided, the tool assesses the suitability for various financing models, such as green loans, capital rebate loans, and bonds.</a:t>
          </a:r>
        </a:p>
        <a:p>
          <a:pPr marL="628650" lvl="1" indent="-171450">
            <a:buFont typeface="Wingdings" panose="05000000000000000000" pitchFamily="2" charset="2"/>
            <a:buChar char="§"/>
          </a:pPr>
          <a:r>
            <a:rPr lang="hr-HR" sz="1200" b="0" i="0" baseline="0">
              <a:solidFill>
                <a:schemeClr val="accent5">
                  <a:lumMod val="50000"/>
                </a:schemeClr>
              </a:solidFill>
              <a:effectLst/>
              <a:latin typeface="Aptos" panose="020B0004020202020204" pitchFamily="34" charset="0"/>
              <a:ea typeface="+mn-ea"/>
              <a:cs typeface="+mn-cs"/>
            </a:rPr>
            <a:t>A financial comparator of total investment costs based on different financing models for benchmarking purposes is automated, allowing parameter adjustments in individual scenarios. </a:t>
          </a:r>
        </a:p>
        <a:p>
          <a:pPr marL="628650" lvl="1" indent="-171450">
            <a:buFont typeface="Wingdings" panose="05000000000000000000" pitchFamily="2" charset="2"/>
            <a:buChar char="§"/>
          </a:pPr>
          <a:r>
            <a:rPr lang="hr-HR" sz="1200" b="0" i="0" baseline="0">
              <a:solidFill>
                <a:schemeClr val="accent5">
                  <a:lumMod val="50000"/>
                </a:schemeClr>
              </a:solidFill>
              <a:effectLst/>
              <a:latin typeface="Aptos" panose="020B0004020202020204" pitchFamily="34" charset="0"/>
              <a:ea typeface="+mn-ea"/>
              <a:cs typeface="+mn-cs"/>
            </a:rPr>
            <a:t>The selected financing model can then be manually entered into the INPUTS tab to calculate the financial performance indicators of the investment</a:t>
          </a:r>
          <a:r>
            <a:rPr lang="hr-HR" sz="1200" b="0" i="0">
              <a:solidFill>
                <a:schemeClr val="dk1"/>
              </a:solidFill>
              <a:effectLst/>
              <a:latin typeface="Aptos" panose="020B0004020202020204" pitchFamily="34" charset="0"/>
              <a:ea typeface="+mn-ea"/>
              <a:cs typeface="+mn-cs"/>
            </a:rPr>
            <a:t>.</a:t>
          </a:r>
        </a:p>
      </xdr:txBody>
    </xdr:sp>
    <xdr:clientData/>
  </xdr:twoCellAnchor>
  <xdr:twoCellAnchor>
    <xdr:from>
      <xdr:col>1</xdr:col>
      <xdr:colOff>549275</xdr:colOff>
      <xdr:row>39</xdr:row>
      <xdr:rowOff>18174</xdr:rowOff>
    </xdr:from>
    <xdr:to>
      <xdr:col>15</xdr:col>
      <xdr:colOff>549910</xdr:colOff>
      <xdr:row>45</xdr:row>
      <xdr:rowOff>59690</xdr:rowOff>
    </xdr:to>
    <xdr:sp macro="" textlink="">
      <xdr:nvSpPr>
        <xdr:cNvPr id="15" name="TextBox 14">
          <a:extLst>
            <a:ext uri="{FF2B5EF4-FFF2-40B4-BE49-F238E27FC236}">
              <a16:creationId xmlns:a16="http://schemas.microsoft.com/office/drawing/2014/main" id="{202CB877-0A8E-479C-9DAF-1B65AB8193D0}"/>
            </a:ext>
          </a:extLst>
        </xdr:cNvPr>
        <xdr:cNvSpPr txBox="1"/>
      </xdr:nvSpPr>
      <xdr:spPr>
        <a:xfrm>
          <a:off x="1184275" y="9441574"/>
          <a:ext cx="8890635" cy="1108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52000" marR="0" lvl="0" indent="-252000" defTabSz="914400" eaLnBrk="1" fontAlgn="auto" latinLnBrk="0" hangingPunct="1">
            <a:lnSpc>
              <a:spcPct val="100000"/>
            </a:lnSpc>
            <a:spcBef>
              <a:spcPts val="0"/>
            </a:spcBef>
            <a:spcAft>
              <a:spcPts val="600"/>
            </a:spcAft>
            <a:buClrTx/>
            <a:buSzPct val="150000"/>
            <a:buFontTx/>
            <a:buBlip>
              <a:blip xmlns:r="http://schemas.openxmlformats.org/officeDocument/2006/relationships" r:embed="rId1"/>
            </a:buBlip>
            <a:tabLst/>
            <a:defRPr/>
          </a:pPr>
          <a:r>
            <a:rPr lang="en-US" sz="1200" b="0" i="0" baseline="0">
              <a:solidFill>
                <a:schemeClr val="accent5">
                  <a:lumMod val="50000"/>
                </a:schemeClr>
              </a:solidFill>
              <a:effectLst/>
              <a:latin typeface="Aptos" panose="020B0004020202020204" pitchFamily="34" charset="0"/>
              <a:ea typeface="+mn-ea"/>
              <a:cs typeface="+mn-cs"/>
            </a:rPr>
            <a:t>A comparative assessment of total investment costs based on different financing models, supporting the selection of the most suitable financing strategy.</a:t>
          </a:r>
        </a:p>
      </xdr:txBody>
    </xdr:sp>
    <xdr:clientData/>
  </xdr:twoCellAnchor>
  <xdr:twoCellAnchor editAs="oneCell">
    <xdr:from>
      <xdr:col>0</xdr:col>
      <xdr:colOff>199602</xdr:colOff>
      <xdr:row>4</xdr:row>
      <xdr:rowOff>224790</xdr:rowOff>
    </xdr:from>
    <xdr:to>
      <xdr:col>1</xdr:col>
      <xdr:colOff>588939</xdr:colOff>
      <xdr:row>9</xdr:row>
      <xdr:rowOff>0</xdr:rowOff>
    </xdr:to>
    <xdr:pic>
      <xdr:nvPicPr>
        <xdr:cNvPr id="98" name="Picture 97">
          <a:extLst>
            <a:ext uri="{FF2B5EF4-FFF2-40B4-BE49-F238E27FC236}">
              <a16:creationId xmlns:a16="http://schemas.microsoft.com/office/drawing/2014/main" id="{A9A7C1FA-C7BE-5D01-45C8-D960774B6B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9602" y="1418590"/>
          <a:ext cx="1033862" cy="715010"/>
        </a:xfrm>
        <a:prstGeom prst="rect">
          <a:avLst/>
        </a:prstGeom>
        <a:ln>
          <a:noFill/>
        </a:ln>
        <a:effectLst>
          <a:reflection blurRad="12700" stA="30000" endPos="30000" dist="5000" dir="5400000" sy="-100000" algn="bl" rotWithShape="0"/>
        </a:effectLst>
        <a:scene3d>
          <a:camera prst="perspectiveContrastingLeftFacing">
            <a:rot lat="300000" lon="19800000" rev="0"/>
          </a:camera>
          <a:lightRig rig="threePt" dir="t">
            <a:rot lat="0" lon="0" rev="2700000"/>
          </a:lightRig>
        </a:scene3d>
        <a:sp3d>
          <a:bevelT w="63500" h="50800"/>
        </a:sp3d>
      </xdr:spPr>
    </xdr:pic>
    <xdr:clientData/>
  </xdr:twoCellAnchor>
  <xdr:twoCellAnchor editAs="oneCell">
    <xdr:from>
      <xdr:col>0</xdr:col>
      <xdr:colOff>186690</xdr:colOff>
      <xdr:row>20</xdr:row>
      <xdr:rowOff>140334</xdr:rowOff>
    </xdr:from>
    <xdr:to>
      <xdr:col>1</xdr:col>
      <xdr:colOff>529590</xdr:colOff>
      <xdr:row>26</xdr:row>
      <xdr:rowOff>95400</xdr:rowOff>
    </xdr:to>
    <xdr:pic>
      <xdr:nvPicPr>
        <xdr:cNvPr id="100" name="Picture 99">
          <a:extLst>
            <a:ext uri="{FF2B5EF4-FFF2-40B4-BE49-F238E27FC236}">
              <a16:creationId xmlns:a16="http://schemas.microsoft.com/office/drawing/2014/main" id="{A7E7CD66-8ECA-145C-1E62-331DB9B2AEF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6690" y="3937634"/>
          <a:ext cx="984250" cy="907566"/>
        </a:xfrm>
        <a:prstGeom prst="rect">
          <a:avLst/>
        </a:prstGeom>
        <a:ln>
          <a:noFill/>
        </a:ln>
        <a:effectLst>
          <a:reflection blurRad="12700" stA="30000" endPos="30000" dist="5000" dir="5400000" sy="-100000" algn="bl" rotWithShape="0"/>
        </a:effectLst>
        <a:scene3d>
          <a:camera prst="perspectiveContrastingLeftFacing">
            <a:rot lat="300000" lon="19800000" rev="0"/>
          </a:camera>
          <a:lightRig rig="threePt" dir="t">
            <a:rot lat="0" lon="0" rev="2700000"/>
          </a:lightRig>
        </a:scene3d>
        <a:sp3d>
          <a:bevelT w="63500" h="50800"/>
        </a:sp3d>
      </xdr:spPr>
    </xdr:pic>
    <xdr:clientData/>
  </xdr:twoCellAnchor>
  <xdr:twoCellAnchor editAs="oneCell">
    <xdr:from>
      <xdr:col>0</xdr:col>
      <xdr:colOff>108585</xdr:colOff>
      <xdr:row>36</xdr:row>
      <xdr:rowOff>24130</xdr:rowOff>
    </xdr:from>
    <xdr:to>
      <xdr:col>1</xdr:col>
      <xdr:colOff>607507</xdr:colOff>
      <xdr:row>39</xdr:row>
      <xdr:rowOff>130175</xdr:rowOff>
    </xdr:to>
    <xdr:pic>
      <xdr:nvPicPr>
        <xdr:cNvPr id="102" name="Picture 101">
          <a:extLst>
            <a:ext uri="{FF2B5EF4-FFF2-40B4-BE49-F238E27FC236}">
              <a16:creationId xmlns:a16="http://schemas.microsoft.com/office/drawing/2014/main" id="{551AD8CA-7CF5-014F-8766-69426FCB23A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183" t="6639" r="7644" b="8333"/>
        <a:stretch/>
      </xdr:blipFill>
      <xdr:spPr>
        <a:xfrm>
          <a:off x="108585" y="6361430"/>
          <a:ext cx="1140272" cy="582295"/>
        </a:xfrm>
        <a:prstGeom prst="rect">
          <a:avLst/>
        </a:prstGeom>
        <a:ln>
          <a:noFill/>
        </a:ln>
        <a:effectLst>
          <a:reflection blurRad="12700" stA="30000" endPos="30000" dist="5000" dir="5400000" sy="-100000" algn="bl" rotWithShape="0"/>
        </a:effectLst>
        <a:scene3d>
          <a:camera prst="perspectiveContrastingLeftFacing">
            <a:rot lat="300000" lon="19800000" rev="0"/>
          </a:camera>
          <a:lightRig rig="threePt" dir="t">
            <a:rot lat="0" lon="0" rev="2700000"/>
          </a:lightRig>
        </a:scene3d>
        <a:sp3d>
          <a:bevelT w="63500" h="50800"/>
        </a:sp3d>
      </xdr:spPr>
    </xdr:pic>
    <xdr:clientData/>
  </xdr:twoCellAnchor>
  <xdr:twoCellAnchor>
    <xdr:from>
      <xdr:col>2</xdr:col>
      <xdr:colOff>174857</xdr:colOff>
      <xdr:row>21</xdr:row>
      <xdr:rowOff>54090</xdr:rowOff>
    </xdr:from>
    <xdr:to>
      <xdr:col>7</xdr:col>
      <xdr:colOff>12932</xdr:colOff>
      <xdr:row>23</xdr:row>
      <xdr:rowOff>115050</xdr:rowOff>
    </xdr:to>
    <xdr:sp macro="" textlink="">
      <xdr:nvSpPr>
        <xdr:cNvPr id="4" name="TextBox 3">
          <a:extLst>
            <a:ext uri="{FF2B5EF4-FFF2-40B4-BE49-F238E27FC236}">
              <a16:creationId xmlns:a16="http://schemas.microsoft.com/office/drawing/2014/main" id="{5D195E59-C70A-4459-8488-38401CE69B3D}"/>
            </a:ext>
          </a:extLst>
        </xdr:cNvPr>
        <xdr:cNvSpPr txBox="1"/>
      </xdr:nvSpPr>
      <xdr:spPr>
        <a:xfrm>
          <a:off x="1444857" y="4321290"/>
          <a:ext cx="3013075" cy="416560"/>
        </a:xfrm>
        <a:prstGeom prst="rect">
          <a:avLst/>
        </a:prstGeom>
        <a:noFill/>
        <a:ln w="28575">
          <a:solidFill>
            <a:schemeClr val="accent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lang="en-US" sz="1400" b="1" i="0" u="none" strike="noStrike" baseline="0">
              <a:solidFill>
                <a:schemeClr val="accent5">
                  <a:lumMod val="50000"/>
                </a:schemeClr>
              </a:solidFill>
              <a:latin typeface="Aptos" panose="020B0004020202020204" pitchFamily="34" charset="0"/>
              <a:ea typeface="Roboto" panose="02000000000000000000" pitchFamily="2" charset="0"/>
              <a:cs typeface="Roboto" panose="02000000000000000000" pitchFamily="2" charset="0"/>
            </a:rPr>
            <a:t>ANALYS</a:t>
          </a:r>
          <a:r>
            <a:rPr lang="hr-HR" sz="1400" b="1" i="0" u="none" strike="noStrike" baseline="0">
              <a:solidFill>
                <a:schemeClr val="accent5">
                  <a:lumMod val="50000"/>
                </a:schemeClr>
              </a:solidFill>
              <a:latin typeface="Aptos" panose="020B0004020202020204" pitchFamily="34" charset="0"/>
              <a:ea typeface="Roboto" panose="02000000000000000000" pitchFamily="2" charset="0"/>
              <a:cs typeface="Roboto" panose="02000000000000000000" pitchFamily="2" charset="0"/>
            </a:rPr>
            <a:t>IS</a:t>
          </a:r>
        </a:p>
      </xdr:txBody>
    </xdr:sp>
    <xdr:clientData/>
  </xdr:twoCellAnchor>
  <xdr:twoCellAnchor>
    <xdr:from>
      <xdr:col>2</xdr:col>
      <xdr:colOff>135890</xdr:colOff>
      <xdr:row>36</xdr:row>
      <xdr:rowOff>11825</xdr:rowOff>
    </xdr:from>
    <xdr:to>
      <xdr:col>6</xdr:col>
      <xdr:colOff>608965</xdr:colOff>
      <xdr:row>38</xdr:row>
      <xdr:rowOff>78500</xdr:rowOff>
    </xdr:to>
    <xdr:sp macro="" textlink="">
      <xdr:nvSpPr>
        <xdr:cNvPr id="5" name="TextBox 4">
          <a:extLst>
            <a:ext uri="{FF2B5EF4-FFF2-40B4-BE49-F238E27FC236}">
              <a16:creationId xmlns:a16="http://schemas.microsoft.com/office/drawing/2014/main" id="{70F089D3-A73C-41F2-BB09-7D00E9C82FCB}"/>
            </a:ext>
          </a:extLst>
        </xdr:cNvPr>
        <xdr:cNvSpPr txBox="1"/>
      </xdr:nvSpPr>
      <xdr:spPr>
        <a:xfrm>
          <a:off x="1393190" y="8784350"/>
          <a:ext cx="2987675" cy="409575"/>
        </a:xfrm>
        <a:prstGeom prst="rect">
          <a:avLst/>
        </a:prstGeom>
        <a:noFill/>
        <a:ln w="19050">
          <a:solidFill>
            <a:schemeClr val="accent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r>
            <a:rPr lang="en-US" sz="1400" b="1" i="0" u="none" strike="noStrike" baseline="0">
              <a:solidFill>
                <a:schemeClr val="accent5">
                  <a:lumMod val="50000"/>
                </a:schemeClr>
              </a:solidFill>
              <a:latin typeface="Aptos" panose="020B0004020202020204" pitchFamily="34" charset="0"/>
              <a:ea typeface="Roboto" panose="02000000000000000000" pitchFamily="2" charset="0"/>
              <a:cs typeface="Roboto" panose="02000000000000000000" pitchFamily="2" charset="0"/>
            </a:rPr>
            <a:t>OUTCOME</a:t>
          </a:r>
          <a:endParaRPr lang="hr-HR" sz="1400" b="1" i="0" u="none" strike="noStrike" baseline="0">
            <a:solidFill>
              <a:schemeClr val="accent5">
                <a:lumMod val="50000"/>
              </a:schemeClr>
            </a:solidFill>
            <a:latin typeface="Aptos" panose="020B0004020202020204" pitchFamily="34" charset="0"/>
            <a:ea typeface="Roboto" panose="02000000000000000000" pitchFamily="2" charset="0"/>
            <a:cs typeface="Roboto" panose="02000000000000000000" pitchFamily="2"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114300</xdr:colOff>
      <xdr:row>0</xdr:row>
      <xdr:rowOff>95250</xdr:rowOff>
    </xdr:from>
    <xdr:to>
      <xdr:col>6</xdr:col>
      <xdr:colOff>488233</xdr:colOff>
      <xdr:row>3</xdr:row>
      <xdr:rowOff>168523</xdr:rowOff>
    </xdr:to>
    <xdr:sp macro="" textlink="">
      <xdr:nvSpPr>
        <xdr:cNvPr id="3" name="TextBox 2">
          <a:extLst>
            <a:ext uri="{FF2B5EF4-FFF2-40B4-BE49-F238E27FC236}">
              <a16:creationId xmlns:a16="http://schemas.microsoft.com/office/drawing/2014/main" id="{4D65A517-35FA-4D4B-8412-51672CA739D8}"/>
            </a:ext>
          </a:extLst>
        </xdr:cNvPr>
        <xdr:cNvSpPr txBox="1"/>
      </xdr:nvSpPr>
      <xdr:spPr>
        <a:xfrm>
          <a:off x="323850" y="95250"/>
          <a:ext cx="6488983" cy="587623"/>
        </a:xfrm>
        <a:prstGeom prst="rect">
          <a:avLst/>
        </a:prstGeom>
        <a:solidFill>
          <a:srgbClr val="31869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hr-HR" sz="1800" b="1">
              <a:solidFill>
                <a:schemeClr val="bg1"/>
              </a:solidFill>
              <a:latin typeface="Aptos" panose="020B0004020202020204" pitchFamily="34" charset="0"/>
            </a:rPr>
            <a:t>DEFINITIONS</a:t>
          </a:r>
          <a:endParaRPr lang="en-US" sz="1800" b="1">
            <a:solidFill>
              <a:schemeClr val="bg1"/>
            </a:solidFill>
            <a:latin typeface="Aptos" panose="020B00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83820</xdr:colOff>
      <xdr:row>59</xdr:row>
      <xdr:rowOff>0</xdr:rowOff>
    </xdr:from>
    <xdr:to>
      <xdr:col>23</xdr:col>
      <xdr:colOff>694690</xdr:colOff>
      <xdr:row>59</xdr:row>
      <xdr:rowOff>0</xdr:rowOff>
    </xdr:to>
    <xdr:graphicFrame macro="">
      <xdr:nvGraphicFramePr>
        <xdr:cNvPr id="3" name="Chart 2">
          <a:extLst>
            <a:ext uri="{FF2B5EF4-FFF2-40B4-BE49-F238E27FC236}">
              <a16:creationId xmlns:a16="http://schemas.microsoft.com/office/drawing/2014/main" id="{7EF0C747-D10E-4103-9DAD-510296186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95885</xdr:colOff>
      <xdr:row>59</xdr:row>
      <xdr:rowOff>0</xdr:rowOff>
    </xdr:from>
    <xdr:to>
      <xdr:col>23</xdr:col>
      <xdr:colOff>641755</xdr:colOff>
      <xdr:row>59</xdr:row>
      <xdr:rowOff>0</xdr:rowOff>
    </xdr:to>
    <xdr:graphicFrame macro="">
      <xdr:nvGraphicFramePr>
        <xdr:cNvPr id="4" name="Chart 3">
          <a:extLst>
            <a:ext uri="{FF2B5EF4-FFF2-40B4-BE49-F238E27FC236}">
              <a16:creationId xmlns:a16="http://schemas.microsoft.com/office/drawing/2014/main" id="{1281A7DB-296F-421F-B685-2A6568A973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87630</xdr:colOff>
      <xdr:row>59</xdr:row>
      <xdr:rowOff>0</xdr:rowOff>
    </xdr:from>
    <xdr:to>
      <xdr:col>23</xdr:col>
      <xdr:colOff>744220</xdr:colOff>
      <xdr:row>59</xdr:row>
      <xdr:rowOff>0</xdr:rowOff>
    </xdr:to>
    <xdr:graphicFrame macro="">
      <xdr:nvGraphicFramePr>
        <xdr:cNvPr id="5" name="Chart 4">
          <a:extLst>
            <a:ext uri="{FF2B5EF4-FFF2-40B4-BE49-F238E27FC236}">
              <a16:creationId xmlns:a16="http://schemas.microsoft.com/office/drawing/2014/main" id="{D2318C71-7795-47A6-82E5-2E8FA941CB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116205</xdr:colOff>
      <xdr:row>30</xdr:row>
      <xdr:rowOff>85727</xdr:rowOff>
    </xdr:from>
    <xdr:to>
      <xdr:col>12</xdr:col>
      <xdr:colOff>428625</xdr:colOff>
      <xdr:row>58</xdr:row>
      <xdr:rowOff>114301</xdr:rowOff>
    </xdr:to>
    <xdr:graphicFrame macro="">
      <xdr:nvGraphicFramePr>
        <xdr:cNvPr id="6" name="Chart 5">
          <a:extLst>
            <a:ext uri="{FF2B5EF4-FFF2-40B4-BE49-F238E27FC236}">
              <a16:creationId xmlns:a16="http://schemas.microsoft.com/office/drawing/2014/main" id="{120CDE2C-52EB-43B6-AC0A-052A80923B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9525</xdr:colOff>
      <xdr:row>0</xdr:row>
      <xdr:rowOff>85725</xdr:rowOff>
    </xdr:from>
    <xdr:to>
      <xdr:col>6</xdr:col>
      <xdr:colOff>459658</xdr:colOff>
      <xdr:row>3</xdr:row>
      <xdr:rowOff>136138</xdr:rowOff>
    </xdr:to>
    <xdr:sp macro="" textlink="">
      <xdr:nvSpPr>
        <xdr:cNvPr id="7" name="TextBox 6">
          <a:extLst>
            <a:ext uri="{FF2B5EF4-FFF2-40B4-BE49-F238E27FC236}">
              <a16:creationId xmlns:a16="http://schemas.microsoft.com/office/drawing/2014/main" id="{E68E2C7B-5624-4EE1-A2B9-3D0D40CF13EA}"/>
            </a:ext>
          </a:extLst>
        </xdr:cNvPr>
        <xdr:cNvSpPr txBox="1"/>
      </xdr:nvSpPr>
      <xdr:spPr>
        <a:xfrm>
          <a:off x="219075" y="85725"/>
          <a:ext cx="6488983" cy="593338"/>
        </a:xfrm>
        <a:prstGeom prst="rect">
          <a:avLst/>
        </a:prstGeom>
        <a:solidFill>
          <a:srgbClr val="31869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hr-HR" sz="1800" b="1">
              <a:solidFill>
                <a:schemeClr val="bg1"/>
              </a:solidFill>
              <a:latin typeface="Aptos" panose="020B0004020202020204" pitchFamily="34" charset="0"/>
            </a:rPr>
            <a:t>DASHBOARD</a:t>
          </a:r>
          <a:endParaRPr lang="en-US" sz="1800" b="1">
            <a:solidFill>
              <a:schemeClr val="bg1"/>
            </a:solidFill>
            <a:latin typeface="Aptos" panose="020B0004020202020204" pitchFamily="34" charset="0"/>
          </a:endParaRPr>
        </a:p>
      </xdr:txBody>
    </xdr:sp>
    <xdr:clientData/>
  </xdr:twoCellAnchor>
  <xdr:twoCellAnchor>
    <xdr:from>
      <xdr:col>0</xdr:col>
      <xdr:colOff>211455</xdr:colOff>
      <xdr:row>59</xdr:row>
      <xdr:rowOff>0</xdr:rowOff>
    </xdr:from>
    <xdr:to>
      <xdr:col>5</xdr:col>
      <xdr:colOff>288925</xdr:colOff>
      <xdr:row>59</xdr:row>
      <xdr:rowOff>0</xdr:rowOff>
    </xdr:to>
    <xdr:graphicFrame macro="">
      <xdr:nvGraphicFramePr>
        <xdr:cNvPr id="8" name="Chart 7">
          <a:extLst>
            <a:ext uri="{FF2B5EF4-FFF2-40B4-BE49-F238E27FC236}">
              <a16:creationId xmlns:a16="http://schemas.microsoft.com/office/drawing/2014/main" id="{70669381-267D-413A-8184-6BC601C5E1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102235</xdr:colOff>
      <xdr:row>0</xdr:row>
      <xdr:rowOff>121285</xdr:rowOff>
    </xdr:from>
    <xdr:to>
      <xdr:col>4</xdr:col>
      <xdr:colOff>8808</xdr:colOff>
      <xdr:row>2</xdr:row>
      <xdr:rowOff>48508</xdr:rowOff>
    </xdr:to>
    <xdr:sp macro="" textlink="">
      <xdr:nvSpPr>
        <xdr:cNvPr id="3" name="TextBox 2">
          <a:extLst>
            <a:ext uri="{FF2B5EF4-FFF2-40B4-BE49-F238E27FC236}">
              <a16:creationId xmlns:a16="http://schemas.microsoft.com/office/drawing/2014/main" id="{FDC3067C-617E-48B9-859C-62170A1610EC}"/>
            </a:ext>
          </a:extLst>
        </xdr:cNvPr>
        <xdr:cNvSpPr txBox="1"/>
      </xdr:nvSpPr>
      <xdr:spPr>
        <a:xfrm>
          <a:off x="102235" y="121285"/>
          <a:ext cx="6469298" cy="593973"/>
        </a:xfrm>
        <a:prstGeom prst="rect">
          <a:avLst/>
        </a:prstGeom>
        <a:solidFill>
          <a:srgbClr val="31869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hr-HR" sz="1800" b="1">
              <a:solidFill>
                <a:schemeClr val="bg1"/>
              </a:solidFill>
              <a:latin typeface="Aptos" panose="020B0004020202020204" pitchFamily="34" charset="0"/>
            </a:rPr>
            <a:t>INPUTS</a:t>
          </a:r>
          <a:endParaRPr lang="en-US" sz="1800" b="1">
            <a:solidFill>
              <a:schemeClr val="bg1"/>
            </a:solidFill>
            <a:latin typeface="Aptos" panose="020B000402020202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180975</xdr:colOff>
      <xdr:row>0</xdr:row>
      <xdr:rowOff>81915</xdr:rowOff>
    </xdr:from>
    <xdr:to>
      <xdr:col>4</xdr:col>
      <xdr:colOff>741598</xdr:colOff>
      <xdr:row>2</xdr:row>
      <xdr:rowOff>218053</xdr:rowOff>
    </xdr:to>
    <xdr:sp macro="" textlink="">
      <xdr:nvSpPr>
        <xdr:cNvPr id="2" name="TextBox 1">
          <a:extLst>
            <a:ext uri="{FF2B5EF4-FFF2-40B4-BE49-F238E27FC236}">
              <a16:creationId xmlns:a16="http://schemas.microsoft.com/office/drawing/2014/main" id="{C0F088F0-1D92-437E-8F1C-FE4E8B5C1686}"/>
            </a:ext>
          </a:extLst>
        </xdr:cNvPr>
        <xdr:cNvSpPr txBox="1"/>
      </xdr:nvSpPr>
      <xdr:spPr>
        <a:xfrm>
          <a:off x="180975" y="81915"/>
          <a:ext cx="6485173" cy="593338"/>
        </a:xfrm>
        <a:prstGeom prst="rect">
          <a:avLst/>
        </a:prstGeom>
        <a:solidFill>
          <a:srgbClr val="31869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hr-HR" sz="1800" b="1">
              <a:solidFill>
                <a:schemeClr val="bg1"/>
              </a:solidFill>
              <a:latin typeface="Aptos" panose="020B0004020202020204" pitchFamily="34" charset="0"/>
            </a:rPr>
            <a:t>OWN FUNDS</a:t>
          </a:r>
          <a:endParaRPr lang="en-US" sz="1800" b="1">
            <a:solidFill>
              <a:schemeClr val="bg1"/>
            </a:solidFill>
            <a:latin typeface="Aptos" panose="020B0004020202020204"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123825</xdr:colOff>
      <xdr:row>0</xdr:row>
      <xdr:rowOff>123825</xdr:rowOff>
    </xdr:from>
    <xdr:to>
      <xdr:col>4</xdr:col>
      <xdr:colOff>695878</xdr:colOff>
      <xdr:row>3</xdr:row>
      <xdr:rowOff>170428</xdr:rowOff>
    </xdr:to>
    <xdr:sp macro="" textlink="">
      <xdr:nvSpPr>
        <xdr:cNvPr id="2" name="TextBox 1">
          <a:extLst>
            <a:ext uri="{FF2B5EF4-FFF2-40B4-BE49-F238E27FC236}">
              <a16:creationId xmlns:a16="http://schemas.microsoft.com/office/drawing/2014/main" id="{E729D04E-3FFD-4497-AE91-7AE4F9A06A74}"/>
            </a:ext>
          </a:extLst>
        </xdr:cNvPr>
        <xdr:cNvSpPr txBox="1"/>
      </xdr:nvSpPr>
      <xdr:spPr>
        <a:xfrm>
          <a:off x="123825" y="123825"/>
          <a:ext cx="6487078" cy="589528"/>
        </a:xfrm>
        <a:prstGeom prst="rect">
          <a:avLst/>
        </a:prstGeom>
        <a:solidFill>
          <a:srgbClr val="31869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hr-HR" sz="1800" b="1">
              <a:solidFill>
                <a:schemeClr val="bg1"/>
              </a:solidFill>
              <a:latin typeface="Aptos" panose="020B0004020202020204" pitchFamily="34" charset="0"/>
            </a:rPr>
            <a:t>OWN FUNDS + GRANT</a:t>
          </a:r>
          <a:endParaRPr lang="en-US" sz="1800" b="1">
            <a:solidFill>
              <a:schemeClr val="bg1"/>
            </a:solidFill>
            <a:latin typeface="Aptos" panose="020B000402020202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57150</xdr:colOff>
      <xdr:row>0</xdr:row>
      <xdr:rowOff>171450</xdr:rowOff>
    </xdr:from>
    <xdr:to>
      <xdr:col>8</xdr:col>
      <xdr:colOff>53893</xdr:colOff>
      <xdr:row>2</xdr:row>
      <xdr:rowOff>69463</xdr:rowOff>
    </xdr:to>
    <xdr:sp macro="" textlink="">
      <xdr:nvSpPr>
        <xdr:cNvPr id="2" name="TextBox 1">
          <a:extLst>
            <a:ext uri="{FF2B5EF4-FFF2-40B4-BE49-F238E27FC236}">
              <a16:creationId xmlns:a16="http://schemas.microsoft.com/office/drawing/2014/main" id="{E6974C3A-EA69-4BF7-83F7-E50FA17E9D04}"/>
            </a:ext>
          </a:extLst>
        </xdr:cNvPr>
        <xdr:cNvSpPr txBox="1"/>
      </xdr:nvSpPr>
      <xdr:spPr>
        <a:xfrm>
          <a:off x="285750" y="171450"/>
          <a:ext cx="6483268" cy="583813"/>
        </a:xfrm>
        <a:prstGeom prst="rect">
          <a:avLst/>
        </a:prstGeom>
        <a:solidFill>
          <a:srgbClr val="31869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hr-HR" sz="1800" b="1">
              <a:solidFill>
                <a:schemeClr val="bg1"/>
              </a:solidFill>
              <a:latin typeface="Aptos" panose="020B0004020202020204" pitchFamily="34" charset="0"/>
            </a:rPr>
            <a:t>STANDARD LOAN</a:t>
          </a:r>
          <a:endParaRPr lang="en-US" sz="1800" b="1">
            <a:solidFill>
              <a:schemeClr val="bg1"/>
            </a:solidFill>
            <a:latin typeface="Aptos" panose="020B0004020202020204"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180975</xdr:colOff>
      <xdr:row>0</xdr:row>
      <xdr:rowOff>142875</xdr:rowOff>
    </xdr:from>
    <xdr:to>
      <xdr:col>5</xdr:col>
      <xdr:colOff>65323</xdr:colOff>
      <xdr:row>3</xdr:row>
      <xdr:rowOff>65653</xdr:rowOff>
    </xdr:to>
    <xdr:sp macro="" textlink="">
      <xdr:nvSpPr>
        <xdr:cNvPr id="3" name="TextBox 2">
          <a:extLst>
            <a:ext uri="{FF2B5EF4-FFF2-40B4-BE49-F238E27FC236}">
              <a16:creationId xmlns:a16="http://schemas.microsoft.com/office/drawing/2014/main" id="{C4C24EA9-40B2-4DD6-94E7-7507BA9F0150}"/>
            </a:ext>
          </a:extLst>
        </xdr:cNvPr>
        <xdr:cNvSpPr txBox="1"/>
      </xdr:nvSpPr>
      <xdr:spPr>
        <a:xfrm>
          <a:off x="180975" y="361950"/>
          <a:ext cx="6485173" cy="580003"/>
        </a:xfrm>
        <a:prstGeom prst="rect">
          <a:avLst/>
        </a:prstGeom>
        <a:solidFill>
          <a:srgbClr val="31869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hr-HR" sz="1800" b="1">
              <a:solidFill>
                <a:schemeClr val="bg1"/>
              </a:solidFill>
              <a:latin typeface="Aptos" panose="020B0004020202020204" pitchFamily="34" charset="0"/>
            </a:rPr>
            <a:t>LOAN + GRANT</a:t>
          </a:r>
          <a:endParaRPr lang="en-US" sz="1800" b="1">
            <a:solidFill>
              <a:schemeClr val="bg1"/>
            </a:solidFill>
            <a:latin typeface="Aptos" panose="020B0004020202020204" pitchFamily="34"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142875</xdr:colOff>
      <xdr:row>0</xdr:row>
      <xdr:rowOff>142875</xdr:rowOff>
    </xdr:from>
    <xdr:to>
      <xdr:col>5</xdr:col>
      <xdr:colOff>1189273</xdr:colOff>
      <xdr:row>3</xdr:row>
      <xdr:rowOff>179953</xdr:rowOff>
    </xdr:to>
    <xdr:sp macro="" textlink="">
      <xdr:nvSpPr>
        <xdr:cNvPr id="3" name="TextBox 2">
          <a:extLst>
            <a:ext uri="{FF2B5EF4-FFF2-40B4-BE49-F238E27FC236}">
              <a16:creationId xmlns:a16="http://schemas.microsoft.com/office/drawing/2014/main" id="{2E7DD6C1-3C77-431A-B1BA-4D2FC1644090}"/>
            </a:ext>
          </a:extLst>
        </xdr:cNvPr>
        <xdr:cNvSpPr txBox="1"/>
      </xdr:nvSpPr>
      <xdr:spPr>
        <a:xfrm>
          <a:off x="142875" y="142875"/>
          <a:ext cx="6485173" cy="580003"/>
        </a:xfrm>
        <a:prstGeom prst="rect">
          <a:avLst/>
        </a:prstGeom>
        <a:solidFill>
          <a:srgbClr val="31869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hr-HR" sz="1800" b="1">
              <a:solidFill>
                <a:schemeClr val="bg1"/>
              </a:solidFill>
              <a:latin typeface="Aptos" panose="020B0004020202020204" pitchFamily="34" charset="0"/>
            </a:rPr>
            <a:t>LOAN + GRANT</a:t>
          </a:r>
          <a:endParaRPr lang="en-US" sz="1800" b="1">
            <a:solidFill>
              <a:schemeClr val="bg1"/>
            </a:solidFill>
            <a:latin typeface="Aptos" panose="020B0004020202020204" pitchFamily="34"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102870</xdr:colOff>
      <xdr:row>0</xdr:row>
      <xdr:rowOff>91440</xdr:rowOff>
    </xdr:from>
    <xdr:to>
      <xdr:col>6</xdr:col>
      <xdr:colOff>465373</xdr:colOff>
      <xdr:row>2</xdr:row>
      <xdr:rowOff>105658</xdr:rowOff>
    </xdr:to>
    <xdr:sp macro="" textlink="">
      <xdr:nvSpPr>
        <xdr:cNvPr id="2" name="TextBox 1">
          <a:extLst>
            <a:ext uri="{FF2B5EF4-FFF2-40B4-BE49-F238E27FC236}">
              <a16:creationId xmlns:a16="http://schemas.microsoft.com/office/drawing/2014/main" id="{7F1E63B3-8294-461E-9A9C-672D1AC5FE3C}"/>
            </a:ext>
          </a:extLst>
        </xdr:cNvPr>
        <xdr:cNvSpPr txBox="1"/>
      </xdr:nvSpPr>
      <xdr:spPr>
        <a:xfrm>
          <a:off x="102870" y="91440"/>
          <a:ext cx="6487078" cy="585718"/>
        </a:xfrm>
        <a:prstGeom prst="rect">
          <a:avLst/>
        </a:prstGeom>
        <a:solidFill>
          <a:srgbClr val="31869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hr-HR" sz="1800" b="1">
              <a:solidFill>
                <a:schemeClr val="bg1"/>
              </a:solidFill>
              <a:latin typeface="Aptos" panose="020B0004020202020204" pitchFamily="34" charset="0"/>
            </a:rPr>
            <a:t>CAPITAL</a:t>
          </a:r>
          <a:r>
            <a:rPr lang="hr-HR" sz="1800" b="1" baseline="0">
              <a:solidFill>
                <a:schemeClr val="bg1"/>
              </a:solidFill>
              <a:latin typeface="Aptos" panose="020B0004020202020204" pitchFamily="34" charset="0"/>
            </a:rPr>
            <a:t> REBATE LOAN (Fis)</a:t>
          </a:r>
          <a:endParaRPr lang="en-US" sz="1800" b="1">
            <a:solidFill>
              <a:schemeClr val="bg1"/>
            </a:solidFill>
            <a:latin typeface="Aptos" panose="020B0004020202020204" pitchFamily="34"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121920</xdr:colOff>
      <xdr:row>0</xdr:row>
      <xdr:rowOff>161925</xdr:rowOff>
    </xdr:from>
    <xdr:to>
      <xdr:col>4</xdr:col>
      <xdr:colOff>1036873</xdr:colOff>
      <xdr:row>2</xdr:row>
      <xdr:rowOff>212338</xdr:rowOff>
    </xdr:to>
    <xdr:sp macro="" textlink="">
      <xdr:nvSpPr>
        <xdr:cNvPr id="2" name="TextBox 1">
          <a:extLst>
            <a:ext uri="{FF2B5EF4-FFF2-40B4-BE49-F238E27FC236}">
              <a16:creationId xmlns:a16="http://schemas.microsoft.com/office/drawing/2014/main" id="{215FA2D1-B5D8-4762-9F31-E4EFD9819898}"/>
            </a:ext>
          </a:extLst>
        </xdr:cNvPr>
        <xdr:cNvSpPr txBox="1"/>
      </xdr:nvSpPr>
      <xdr:spPr>
        <a:xfrm>
          <a:off x="121920" y="161925"/>
          <a:ext cx="6487078" cy="583813"/>
        </a:xfrm>
        <a:prstGeom prst="rect">
          <a:avLst/>
        </a:prstGeom>
        <a:solidFill>
          <a:srgbClr val="31869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hr-HR" sz="1800" b="1">
              <a:solidFill>
                <a:schemeClr val="bg1"/>
              </a:solidFill>
              <a:latin typeface="Aptos" panose="020B0004020202020204" pitchFamily="34" charset="0"/>
            </a:rPr>
            <a:t>BONDS</a:t>
          </a:r>
          <a:r>
            <a:rPr lang="hr-HR" sz="1800" b="1" baseline="0">
              <a:solidFill>
                <a:schemeClr val="bg1"/>
              </a:solidFill>
              <a:latin typeface="Aptos" panose="020B0004020202020204" pitchFamily="34" charset="0"/>
            </a:rPr>
            <a:t> (Standard II)</a:t>
          </a:r>
          <a:endParaRPr lang="en-US" sz="1800" b="1">
            <a:solidFill>
              <a:schemeClr val="bg1"/>
            </a:solidFill>
            <a:latin typeface="Aptos" panose="020B0004020202020204" pitchFamily="34"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152400</xdr:colOff>
      <xdr:row>0</xdr:row>
      <xdr:rowOff>114300</xdr:rowOff>
    </xdr:from>
    <xdr:to>
      <xdr:col>4</xdr:col>
      <xdr:colOff>400603</xdr:colOff>
      <xdr:row>3</xdr:row>
      <xdr:rowOff>145663</xdr:rowOff>
    </xdr:to>
    <xdr:sp macro="" textlink="">
      <xdr:nvSpPr>
        <xdr:cNvPr id="2" name="TextBox 1">
          <a:extLst>
            <a:ext uri="{FF2B5EF4-FFF2-40B4-BE49-F238E27FC236}">
              <a16:creationId xmlns:a16="http://schemas.microsoft.com/office/drawing/2014/main" id="{65010AC9-CA10-4A7E-A332-A225D65B5F82}"/>
            </a:ext>
          </a:extLst>
        </xdr:cNvPr>
        <xdr:cNvSpPr txBox="1"/>
      </xdr:nvSpPr>
      <xdr:spPr>
        <a:xfrm>
          <a:off x="152400" y="114300"/>
          <a:ext cx="6487078" cy="574288"/>
        </a:xfrm>
        <a:prstGeom prst="rect">
          <a:avLst/>
        </a:prstGeom>
        <a:solidFill>
          <a:srgbClr val="31869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hr-HR" sz="1800" b="1">
              <a:solidFill>
                <a:schemeClr val="bg1"/>
              </a:solidFill>
              <a:latin typeface="Aptos" panose="020B0004020202020204" pitchFamily="34" charset="0"/>
            </a:rPr>
            <a:t>BONDS</a:t>
          </a:r>
          <a:r>
            <a:rPr lang="hr-HR" sz="1800" b="1" baseline="0">
              <a:solidFill>
                <a:schemeClr val="bg1"/>
              </a:solidFill>
              <a:latin typeface="Aptos" panose="020B0004020202020204" pitchFamily="34" charset="0"/>
            </a:rPr>
            <a:t> (EuGBS - SLB)</a:t>
          </a:r>
          <a:endParaRPr lang="en-US" sz="1800" b="1">
            <a:solidFill>
              <a:schemeClr val="bg1"/>
            </a:solidFill>
            <a:latin typeface="Aptos" panose="020B00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B719F-826C-41C8-B2EF-09CB1A6059DA}">
  <sheetPr>
    <tabColor theme="8" tint="0.39997558519241921"/>
  </sheetPr>
  <dimension ref="A1"/>
  <sheetViews>
    <sheetView tabSelected="1" zoomScaleNormal="100" workbookViewId="0">
      <selection activeCell="H49" sqref="H49"/>
    </sheetView>
  </sheetViews>
  <sheetFormatPr defaultColWidth="9.140625" defaultRowHeight="12.75" x14ac:dyDescent="0.2"/>
  <cols>
    <col min="1" max="1" width="4.140625" style="29" customWidth="1"/>
    <col min="2" max="16384" width="9.140625" style="2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082FB-085A-469F-9F9E-0AE8DDC5BB91}">
  <sheetPr>
    <tabColor theme="8" tint="0.39997558519241921"/>
  </sheetPr>
  <dimension ref="A1"/>
  <sheetViews>
    <sheetView zoomScaleNormal="100" workbookViewId="0">
      <selection activeCell="F42" sqref="F42"/>
    </sheetView>
  </sheetViews>
  <sheetFormatPr defaultColWidth="9.140625" defaultRowHeight="12.75" x14ac:dyDescent="0.2"/>
  <cols>
    <col min="1" max="1" width="4.140625" style="29" customWidth="1"/>
    <col min="2" max="16384" width="9.140625" style="29"/>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747E2-B988-44F6-B6FA-FC8609CB7073}">
  <sheetPr>
    <tabColor theme="8" tint="0.39997558519241921"/>
  </sheetPr>
  <dimension ref="A1"/>
  <sheetViews>
    <sheetView zoomScaleNormal="100" workbookViewId="0">
      <selection activeCell="R40" sqref="R40"/>
    </sheetView>
  </sheetViews>
  <sheetFormatPr defaultColWidth="9.140625" defaultRowHeight="12.75" x14ac:dyDescent="0.2"/>
  <cols>
    <col min="1" max="1" width="4.140625" style="29" customWidth="1"/>
    <col min="2" max="16384" width="9.140625" style="29"/>
  </cols>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9B41C-C02B-4982-A3EE-586526172B34}">
  <sheetPr>
    <tabColor theme="8" tint="0.39997558519241921"/>
  </sheetPr>
  <dimension ref="B1:O10"/>
  <sheetViews>
    <sheetView zoomScaleNormal="100" workbookViewId="0">
      <selection activeCell="U22" sqref="U22"/>
    </sheetView>
  </sheetViews>
  <sheetFormatPr defaultColWidth="9.140625" defaultRowHeight="12.75" x14ac:dyDescent="0.2"/>
  <cols>
    <col min="1" max="1" width="9.140625" style="29"/>
    <col min="2" max="15" width="9.140625" style="60"/>
    <col min="16" max="16384" width="9.140625" style="29"/>
  </cols>
  <sheetData>
    <row r="1" spans="2:12" ht="25.7" customHeight="1" x14ac:dyDescent="0.2"/>
    <row r="2" spans="2:12" ht="28.35" customHeight="1" x14ac:dyDescent="0.2"/>
    <row r="3" spans="2:12" ht="24.6" customHeight="1" x14ac:dyDescent="0.2"/>
    <row r="5" spans="2:12" ht="18.75" x14ac:dyDescent="0.2">
      <c r="B5" s="259"/>
      <c r="C5" s="259"/>
      <c r="D5" s="259"/>
      <c r="E5" s="259"/>
      <c r="F5" s="259"/>
      <c r="G5" s="259"/>
      <c r="H5" s="259"/>
      <c r="I5" s="259"/>
      <c r="J5" s="259"/>
      <c r="K5" s="260"/>
      <c r="L5" s="29"/>
    </row>
    <row r="6" spans="2:12" ht="13.5" x14ac:dyDescent="0.25">
      <c r="B6" s="61"/>
      <c r="C6" s="261"/>
      <c r="D6" s="261"/>
      <c r="E6" s="261"/>
      <c r="F6" s="261"/>
      <c r="G6" s="261"/>
      <c r="H6" s="261"/>
      <c r="I6" s="261"/>
      <c r="J6" s="261"/>
      <c r="K6" s="62"/>
    </row>
    <row r="7" spans="2:12" ht="13.5" x14ac:dyDescent="0.25">
      <c r="B7" s="61"/>
      <c r="C7" s="261"/>
      <c r="D7" s="261"/>
      <c r="E7" s="261"/>
      <c r="F7" s="261"/>
      <c r="G7" s="261"/>
      <c r="H7" s="261"/>
      <c r="I7" s="261"/>
      <c r="J7" s="261"/>
      <c r="K7" s="62"/>
    </row>
    <row r="8" spans="2:12" ht="13.5" x14ac:dyDescent="0.25">
      <c r="B8" s="61"/>
      <c r="C8" s="261"/>
      <c r="D8" s="261"/>
      <c r="E8" s="261"/>
      <c r="F8" s="261"/>
      <c r="G8" s="261"/>
      <c r="H8" s="261"/>
      <c r="I8" s="261"/>
      <c r="J8" s="261"/>
      <c r="K8" s="61"/>
    </row>
    <row r="9" spans="2:12" ht="13.5" x14ac:dyDescent="0.25">
      <c r="B9" s="61"/>
      <c r="C9" s="261"/>
      <c r="D9" s="261"/>
      <c r="E9" s="261"/>
      <c r="F9" s="261"/>
      <c r="G9" s="261"/>
      <c r="H9" s="261"/>
      <c r="I9" s="261"/>
      <c r="J9" s="261"/>
      <c r="K9" s="61"/>
    </row>
    <row r="10" spans="2:12" ht="13.5" x14ac:dyDescent="0.25">
      <c r="B10" s="61"/>
      <c r="C10" s="261"/>
      <c r="D10" s="261"/>
      <c r="E10" s="261"/>
      <c r="F10" s="261"/>
      <c r="G10" s="261"/>
      <c r="H10" s="261"/>
      <c r="I10" s="261"/>
      <c r="J10" s="261"/>
      <c r="K10" s="61"/>
    </row>
  </sheetData>
  <mergeCells count="4">
    <mergeCell ref="B5:K5"/>
    <mergeCell ref="C6:J7"/>
    <mergeCell ref="C8:J9"/>
    <mergeCell ref="C10:J1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3F324-F4D2-4BB8-80CF-EC4AE63E47F5}">
  <sheetPr codeName="Sheet1">
    <tabColor theme="8" tint="0.39997558519241921"/>
    <pageSetUpPr fitToPage="1"/>
  </sheetPr>
  <dimension ref="A1:AD20"/>
  <sheetViews>
    <sheetView zoomScale="75" zoomScaleNormal="75" workbookViewId="0">
      <selection activeCell="B14" sqref="B14:L14"/>
    </sheetView>
  </sheetViews>
  <sheetFormatPr defaultColWidth="11.42578125" defaultRowHeight="15" x14ac:dyDescent="0.2"/>
  <cols>
    <col min="1" max="1" width="3.140625" style="37" customWidth="1"/>
    <col min="2" max="2" width="11.85546875" style="37" customWidth="1"/>
    <col min="3" max="3" width="16.5703125" style="37" customWidth="1"/>
    <col min="4" max="4" width="26.140625" style="37" customWidth="1"/>
    <col min="5" max="9" width="11.42578125" style="37"/>
    <col min="10" max="10" width="3.5703125" style="37" customWidth="1"/>
    <col min="11" max="11" width="48.42578125" style="37" customWidth="1"/>
    <col min="12" max="16384" width="11.42578125" style="37"/>
  </cols>
  <sheetData>
    <row r="1" spans="1:30" ht="13.7" customHeight="1" x14ac:dyDescent="0.2">
      <c r="A1" s="81"/>
      <c r="B1" s="81"/>
      <c r="C1" s="81"/>
      <c r="D1" s="81"/>
      <c r="E1" s="81"/>
      <c r="F1" s="81"/>
      <c r="G1" s="81"/>
      <c r="H1" s="81"/>
      <c r="I1" s="81"/>
      <c r="J1" s="81"/>
      <c r="K1" s="80"/>
      <c r="L1" s="80"/>
      <c r="M1" s="80"/>
      <c r="N1" s="80"/>
      <c r="O1" s="80"/>
      <c r="P1" s="80"/>
      <c r="Q1" s="80"/>
      <c r="R1" s="80"/>
      <c r="S1" s="80"/>
      <c r="T1" s="82"/>
      <c r="U1" s="82"/>
      <c r="V1" s="82"/>
      <c r="W1" s="82"/>
      <c r="X1" s="82"/>
      <c r="Y1" s="82"/>
      <c r="Z1" s="82"/>
      <c r="AA1" s="82"/>
      <c r="AB1" s="82"/>
      <c r="AC1" s="82"/>
      <c r="AD1" s="82"/>
    </row>
    <row r="2" spans="1:30" ht="13.7" customHeight="1" x14ac:dyDescent="0.2">
      <c r="A2" s="81"/>
      <c r="B2" s="81"/>
      <c r="C2" s="81"/>
      <c r="D2" s="81"/>
      <c r="E2" s="81"/>
      <c r="F2" s="81"/>
      <c r="G2" s="81"/>
      <c r="H2" s="81"/>
      <c r="I2" s="81"/>
      <c r="J2" s="81"/>
      <c r="K2" s="80"/>
      <c r="L2" s="80"/>
      <c r="M2" s="80"/>
      <c r="N2" s="80"/>
      <c r="O2" s="80"/>
      <c r="P2" s="80"/>
      <c r="Q2" s="80"/>
      <c r="R2" s="80"/>
      <c r="S2" s="80"/>
      <c r="T2" s="82"/>
      <c r="U2" s="82"/>
      <c r="V2" s="82"/>
      <c r="W2" s="82"/>
      <c r="X2" s="82"/>
      <c r="Y2" s="82"/>
      <c r="Z2" s="82"/>
      <c r="AA2" s="82"/>
      <c r="AB2" s="82"/>
      <c r="AC2" s="82"/>
      <c r="AD2" s="82"/>
    </row>
    <row r="3" spans="1:30" ht="13.7" customHeight="1" x14ac:dyDescent="0.2">
      <c r="A3" s="81"/>
      <c r="B3" s="81"/>
      <c r="C3" s="81"/>
      <c r="D3" s="81"/>
      <c r="E3" s="81"/>
      <c r="F3" s="81"/>
      <c r="G3" s="81"/>
      <c r="H3" s="81"/>
      <c r="I3" s="81"/>
      <c r="J3" s="81"/>
      <c r="K3" s="80"/>
      <c r="L3" s="80"/>
      <c r="M3" s="80"/>
      <c r="N3" s="80"/>
      <c r="O3" s="80"/>
      <c r="P3" s="80"/>
      <c r="Q3" s="80"/>
      <c r="R3" s="80"/>
      <c r="S3" s="80"/>
      <c r="T3" s="82"/>
      <c r="U3" s="82"/>
      <c r="V3" s="82"/>
      <c r="W3" s="82"/>
      <c r="X3" s="82"/>
      <c r="Y3" s="82"/>
      <c r="Z3" s="82"/>
      <c r="AA3" s="82"/>
      <c r="AB3" s="82"/>
      <c r="AC3" s="82"/>
      <c r="AD3" s="82"/>
    </row>
    <row r="4" spans="1:30" ht="13.7" customHeight="1" x14ac:dyDescent="0.2">
      <c r="A4" s="81"/>
      <c r="B4" s="81"/>
      <c r="C4" s="81"/>
      <c r="D4" s="81"/>
      <c r="E4" s="81"/>
      <c r="F4" s="81"/>
      <c r="G4" s="81"/>
      <c r="H4" s="81"/>
      <c r="I4" s="81"/>
      <c r="J4" s="81"/>
      <c r="K4" s="80"/>
      <c r="L4" s="80"/>
      <c r="M4" s="80"/>
      <c r="N4" s="80"/>
      <c r="O4" s="80"/>
      <c r="P4" s="80"/>
      <c r="Q4" s="80"/>
      <c r="R4" s="80"/>
      <c r="S4" s="80"/>
      <c r="T4" s="82"/>
      <c r="U4" s="82"/>
      <c r="V4" s="82"/>
      <c r="W4" s="82"/>
      <c r="X4" s="82"/>
      <c r="Y4" s="82"/>
      <c r="Z4" s="82"/>
      <c r="AA4" s="82"/>
      <c r="AB4" s="82"/>
      <c r="AC4" s="82"/>
      <c r="AD4" s="82"/>
    </row>
    <row r="5" spans="1:30" ht="13.7" customHeight="1" thickBot="1" x14ac:dyDescent="0.25">
      <c r="A5" s="81"/>
      <c r="B5" s="81"/>
      <c r="C5" s="81"/>
      <c r="D5" s="81"/>
      <c r="E5" s="81"/>
      <c r="F5" s="81"/>
      <c r="G5" s="81"/>
      <c r="H5" s="81"/>
      <c r="I5" s="81"/>
      <c r="J5" s="81"/>
      <c r="K5" s="80"/>
      <c r="L5" s="80"/>
      <c r="M5" s="80"/>
      <c r="N5" s="80"/>
      <c r="O5" s="80"/>
      <c r="P5" s="80"/>
      <c r="Q5" s="80"/>
      <c r="R5" s="80"/>
      <c r="S5" s="80"/>
      <c r="T5" s="82"/>
      <c r="U5" s="82"/>
      <c r="V5" s="82"/>
      <c r="W5" s="82"/>
      <c r="X5" s="82"/>
      <c r="Y5" s="82"/>
      <c r="Z5" s="82"/>
      <c r="AA5" s="82"/>
      <c r="AB5" s="82"/>
      <c r="AC5" s="82"/>
      <c r="AD5" s="82"/>
    </row>
    <row r="6" spans="1:30" ht="24" customHeight="1" thickBot="1" x14ac:dyDescent="0.25">
      <c r="A6" s="269" t="s">
        <v>0</v>
      </c>
      <c r="B6" s="270"/>
      <c r="C6" s="270"/>
      <c r="D6" s="270"/>
      <c r="E6" s="270"/>
      <c r="F6" s="270"/>
      <c r="G6" s="270"/>
      <c r="H6" s="270"/>
      <c r="I6" s="270"/>
      <c r="J6" s="270"/>
      <c r="K6" s="270"/>
      <c r="L6" s="270"/>
      <c r="M6" s="243"/>
    </row>
    <row r="7" spans="1:30" ht="16.350000000000001" customHeight="1" x14ac:dyDescent="0.2">
      <c r="B7" s="265" t="s">
        <v>1</v>
      </c>
      <c r="C7" s="266"/>
      <c r="D7" s="266"/>
      <c r="E7" s="266"/>
      <c r="F7" s="266"/>
      <c r="G7" s="266"/>
      <c r="H7" s="266"/>
      <c r="I7" s="266"/>
      <c r="J7" s="267"/>
      <c r="K7" s="267"/>
      <c r="L7" s="268"/>
    </row>
    <row r="8" spans="1:30" ht="13.7" customHeight="1" x14ac:dyDescent="0.2">
      <c r="B8" s="266"/>
      <c r="C8" s="266"/>
      <c r="D8" s="266"/>
      <c r="E8" s="266"/>
      <c r="F8" s="266"/>
      <c r="G8" s="266"/>
      <c r="H8" s="266"/>
      <c r="I8" s="266"/>
      <c r="J8" s="267"/>
      <c r="K8" s="267"/>
      <c r="L8" s="268"/>
    </row>
    <row r="9" spans="1:30" ht="23.45" customHeight="1" x14ac:dyDescent="0.2">
      <c r="B9" s="266"/>
      <c r="C9" s="266"/>
      <c r="D9" s="266"/>
      <c r="E9" s="266"/>
      <c r="F9" s="266"/>
      <c r="G9" s="266"/>
      <c r="H9" s="266"/>
      <c r="I9" s="266"/>
      <c r="J9" s="267"/>
      <c r="K9" s="267"/>
      <c r="L9" s="268"/>
    </row>
    <row r="10" spans="1:30" ht="23.45" customHeight="1" thickBot="1" x14ac:dyDescent="0.25">
      <c r="B10" s="83"/>
      <c r="C10" s="83"/>
      <c r="D10" s="83"/>
      <c r="E10" s="83"/>
      <c r="F10" s="83"/>
      <c r="G10" s="83"/>
      <c r="H10" s="83"/>
    </row>
    <row r="11" spans="1:30" ht="27" customHeight="1" thickBot="1" x14ac:dyDescent="0.25">
      <c r="A11" s="269" t="s">
        <v>2</v>
      </c>
      <c r="B11" s="270"/>
      <c r="C11" s="270"/>
      <c r="D11" s="270"/>
      <c r="E11" s="270"/>
      <c r="F11" s="270"/>
      <c r="G11" s="270"/>
      <c r="H11" s="270"/>
      <c r="I11" s="270"/>
      <c r="J11" s="270"/>
      <c r="K11" s="270"/>
      <c r="L11" s="270"/>
      <c r="M11" s="243"/>
    </row>
    <row r="12" spans="1:30" ht="46.35" customHeight="1" x14ac:dyDescent="0.2">
      <c r="A12" s="84"/>
      <c r="B12" s="262" t="s">
        <v>3</v>
      </c>
      <c r="C12" s="263"/>
      <c r="D12" s="263"/>
      <c r="E12" s="263"/>
      <c r="F12" s="263"/>
      <c r="G12" s="263"/>
      <c r="H12" s="263"/>
      <c r="I12" s="263"/>
      <c r="J12" s="264"/>
      <c r="K12" s="264"/>
      <c r="L12" s="264"/>
    </row>
    <row r="13" spans="1:30" ht="44.45" customHeight="1" x14ac:dyDescent="0.2">
      <c r="B13" s="262" t="s">
        <v>4</v>
      </c>
      <c r="C13" s="263"/>
      <c r="D13" s="263"/>
      <c r="E13" s="263"/>
      <c r="F13" s="263"/>
      <c r="G13" s="263"/>
      <c r="H13" s="263"/>
      <c r="I13" s="263"/>
      <c r="J13" s="264"/>
      <c r="K13" s="264"/>
      <c r="L13" s="264"/>
    </row>
    <row r="14" spans="1:30" ht="45" customHeight="1" x14ac:dyDescent="0.2">
      <c r="B14" s="262" t="s">
        <v>5</v>
      </c>
      <c r="C14" s="263"/>
      <c r="D14" s="263"/>
      <c r="E14" s="263"/>
      <c r="F14" s="263"/>
      <c r="G14" s="263"/>
      <c r="H14" s="263"/>
      <c r="I14" s="263"/>
      <c r="J14" s="264"/>
      <c r="K14" s="264"/>
      <c r="L14" s="264"/>
    </row>
    <row r="15" spans="1:30" ht="46.7" customHeight="1" x14ac:dyDescent="0.2">
      <c r="B15" s="262" t="s">
        <v>6</v>
      </c>
      <c r="C15" s="263"/>
      <c r="D15" s="263"/>
      <c r="E15" s="263"/>
      <c r="F15" s="263"/>
      <c r="G15" s="263"/>
      <c r="H15" s="263"/>
      <c r="I15" s="263"/>
      <c r="J15" s="271"/>
      <c r="K15" s="271"/>
      <c r="L15" s="271"/>
    </row>
    <row r="16" spans="1:30" ht="51" customHeight="1" x14ac:dyDescent="0.2">
      <c r="A16" s="87"/>
      <c r="B16" s="262" t="s">
        <v>7</v>
      </c>
      <c r="C16" s="263"/>
      <c r="D16" s="263"/>
      <c r="E16" s="263"/>
      <c r="F16" s="263"/>
      <c r="G16" s="263"/>
      <c r="H16" s="263"/>
      <c r="I16" s="263"/>
      <c r="J16" s="264"/>
      <c r="K16" s="264"/>
      <c r="L16" s="264"/>
    </row>
    <row r="17" spans="2:12" ht="61.35" customHeight="1" x14ac:dyDescent="0.2">
      <c r="B17" s="262" t="s">
        <v>8</v>
      </c>
      <c r="C17" s="263"/>
      <c r="D17" s="263"/>
      <c r="E17" s="263"/>
      <c r="F17" s="263"/>
      <c r="G17" s="263"/>
      <c r="H17" s="263"/>
      <c r="I17" s="263"/>
      <c r="J17" s="264"/>
      <c r="K17" s="264"/>
      <c r="L17" s="264"/>
    </row>
    <row r="18" spans="2:12" ht="42" customHeight="1" x14ac:dyDescent="0.2">
      <c r="B18" s="262" t="s">
        <v>9</v>
      </c>
      <c r="C18" s="263"/>
      <c r="D18" s="263"/>
      <c r="E18" s="263"/>
      <c r="F18" s="263"/>
      <c r="G18" s="263"/>
      <c r="H18" s="263"/>
      <c r="I18" s="263"/>
      <c r="J18" s="264"/>
      <c r="K18" s="264"/>
      <c r="L18" s="264"/>
    </row>
    <row r="19" spans="2:12" ht="47.45" customHeight="1" x14ac:dyDescent="0.2">
      <c r="B19" s="262" t="s">
        <v>10</v>
      </c>
      <c r="C19" s="263"/>
      <c r="D19" s="263"/>
      <c r="E19" s="263"/>
      <c r="F19" s="263"/>
      <c r="G19" s="263"/>
      <c r="H19" s="263"/>
      <c r="I19" s="263"/>
      <c r="J19" s="264"/>
      <c r="K19" s="264"/>
      <c r="L19" s="264"/>
    </row>
    <row r="20" spans="2:12" x14ac:dyDescent="0.2">
      <c r="B20" s="85"/>
      <c r="C20" s="86"/>
      <c r="D20" s="86"/>
      <c r="E20" s="86"/>
      <c r="F20" s="86"/>
      <c r="G20" s="86"/>
      <c r="H20" s="86"/>
      <c r="I20" s="86"/>
    </row>
  </sheetData>
  <mergeCells count="11">
    <mergeCell ref="B12:L12"/>
    <mergeCell ref="B7:L9"/>
    <mergeCell ref="B18:L18"/>
    <mergeCell ref="B19:L19"/>
    <mergeCell ref="A6:L6"/>
    <mergeCell ref="A11:L11"/>
    <mergeCell ref="B13:L13"/>
    <mergeCell ref="B14:L14"/>
    <mergeCell ref="B15:L15"/>
    <mergeCell ref="B16:L16"/>
    <mergeCell ref="B17:L17"/>
  </mergeCells>
  <pageMargins left="0.7" right="0.7" top="0.75" bottom="0.75" header="0.3" footer="0.3"/>
  <pageSetup paperSize="9" fitToHeight="0" orientation="landscape"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CAA2A-3509-4221-8D59-9FD516892BB9}">
  <sheetPr codeName="Sheet3">
    <tabColor rgb="FFFF0000"/>
  </sheetPr>
  <dimension ref="B4:X29"/>
  <sheetViews>
    <sheetView showGridLines="0" zoomScaleNormal="100" workbookViewId="0">
      <selection activeCell="E21" sqref="E21"/>
    </sheetView>
  </sheetViews>
  <sheetFormatPr defaultColWidth="8.85546875" defaultRowHeight="15" x14ac:dyDescent="0.25"/>
  <cols>
    <col min="1" max="1" width="3.140625" style="23" customWidth="1"/>
    <col min="2" max="2" width="35.5703125" style="23" bestFit="1" customWidth="1"/>
    <col min="3" max="3" width="11.42578125" style="23" customWidth="1"/>
    <col min="4" max="4" width="13.42578125" style="23" customWidth="1"/>
    <col min="5" max="6" width="13.85546875" style="23" customWidth="1"/>
    <col min="7" max="18" width="12.85546875" style="23" customWidth="1"/>
    <col min="19" max="19" width="19.140625" style="23" customWidth="1"/>
    <col min="20" max="20" width="21" style="23" bestFit="1" customWidth="1"/>
    <col min="21" max="22" width="12.85546875" style="23" customWidth="1"/>
    <col min="23" max="23" width="13.5703125" style="23" customWidth="1"/>
    <col min="24" max="24" width="12.85546875" style="23" customWidth="1"/>
    <col min="25" max="16384" width="8.85546875" style="23"/>
  </cols>
  <sheetData>
    <row r="4" spans="2:24" ht="15.75" thickBot="1" x14ac:dyDescent="0.3"/>
    <row r="5" spans="2:24" s="26" customFormat="1" ht="19.5" thickBot="1" x14ac:dyDescent="0.25">
      <c r="B5" s="269" t="s">
        <v>11</v>
      </c>
      <c r="C5" s="272"/>
      <c r="D5" s="25"/>
      <c r="E5" s="25"/>
      <c r="F5" s="25"/>
      <c r="G5" s="25"/>
      <c r="H5" s="25"/>
      <c r="I5" s="25"/>
      <c r="J5" s="25"/>
      <c r="K5" s="25"/>
      <c r="L5" s="25"/>
      <c r="M5" s="25"/>
      <c r="N5" s="25"/>
      <c r="O5" s="25"/>
      <c r="P5" s="25"/>
      <c r="Q5" s="25"/>
      <c r="R5" s="25"/>
      <c r="S5" s="25"/>
      <c r="T5" s="25"/>
      <c r="U5" s="25"/>
      <c r="V5" s="25"/>
      <c r="W5" s="25"/>
      <c r="X5" s="25"/>
    </row>
    <row r="6" spans="2:24" x14ac:dyDescent="0.25">
      <c r="B6" s="70"/>
    </row>
    <row r="7" spans="2:24" x14ac:dyDescent="0.25">
      <c r="B7" s="70" t="s">
        <v>12</v>
      </c>
      <c r="D7" s="275"/>
      <c r="E7" s="276"/>
      <c r="F7" s="276"/>
      <c r="G7" s="276"/>
      <c r="H7" s="276"/>
      <c r="I7" s="276"/>
      <c r="J7" s="276"/>
      <c r="K7" s="276"/>
      <c r="L7" s="276"/>
      <c r="M7" s="277"/>
    </row>
    <row r="8" spans="2:24" x14ac:dyDescent="0.25">
      <c r="B8" s="70"/>
    </row>
    <row r="9" spans="2:24" x14ac:dyDescent="0.25">
      <c r="B9" s="70" t="s">
        <v>13</v>
      </c>
      <c r="D9" s="275"/>
      <c r="E9" s="276"/>
      <c r="F9" s="276"/>
      <c r="G9" s="276"/>
      <c r="H9" s="276"/>
      <c r="I9" s="276"/>
      <c r="J9" s="276"/>
      <c r="K9" s="276"/>
      <c r="L9" s="276"/>
      <c r="M9" s="277"/>
    </row>
    <row r="10" spans="2:24" x14ac:dyDescent="0.25">
      <c r="B10" s="70"/>
    </row>
    <row r="11" spans="2:24" ht="15.75" thickBot="1" x14ac:dyDescent="0.3">
      <c r="B11" s="70"/>
    </row>
    <row r="12" spans="2:24" ht="19.5" thickBot="1" x14ac:dyDescent="0.3">
      <c r="B12" s="269" t="s">
        <v>14</v>
      </c>
      <c r="C12" s="272"/>
      <c r="D12" s="27"/>
      <c r="E12" s="27"/>
      <c r="F12" s="27"/>
      <c r="G12" s="27"/>
      <c r="H12" s="27"/>
      <c r="I12" s="27"/>
      <c r="J12" s="27"/>
      <c r="K12" s="27"/>
      <c r="L12" s="27"/>
      <c r="M12" s="27"/>
      <c r="N12" s="27"/>
      <c r="O12" s="27"/>
      <c r="P12" s="27"/>
      <c r="Q12" s="27"/>
      <c r="R12" s="27"/>
      <c r="S12" s="27"/>
      <c r="T12" s="27"/>
      <c r="U12" s="27"/>
      <c r="V12" s="27"/>
      <c r="W12" s="27"/>
      <c r="X12" s="27"/>
    </row>
    <row r="13" spans="2:24" ht="15.75" thickBot="1" x14ac:dyDescent="0.3">
      <c r="B13" s="27"/>
      <c r="C13" s="27"/>
      <c r="D13" s="27"/>
    </row>
    <row r="14" spans="2:24" ht="16.5" thickBot="1" x14ac:dyDescent="0.3">
      <c r="B14" s="278" t="s">
        <v>15</v>
      </c>
      <c r="C14" s="279"/>
      <c r="D14" s="27"/>
    </row>
    <row r="15" spans="2:24" x14ac:dyDescent="0.25">
      <c r="B15" s="132" t="s">
        <v>16</v>
      </c>
      <c r="C15" s="133">
        <f>SUM(INPUTS!D21:W22)+SUM(INPUTS!D49:W50)</f>
        <v>0</v>
      </c>
      <c r="D15" s="26"/>
    </row>
    <row r="16" spans="2:24" ht="14.1" customHeight="1" x14ac:dyDescent="0.25">
      <c r="B16" s="72" t="s">
        <v>17</v>
      </c>
      <c r="C16" s="71">
        <f>SUM(INPUTS!D24:W29)+SUM(INPUTS!D52:W57)</f>
        <v>865883</v>
      </c>
      <c r="D16" s="26"/>
    </row>
    <row r="17" spans="2:10" x14ac:dyDescent="0.25">
      <c r="B17" s="72" t="s">
        <v>18</v>
      </c>
      <c r="C17" s="71">
        <f>SUM(INPUTS!D31:W37)+SUM(INPUTS!D59:W65)</f>
        <v>509391</v>
      </c>
      <c r="D17" s="26"/>
    </row>
    <row r="18" spans="2:10" ht="14.45" customHeight="1" x14ac:dyDescent="0.25">
      <c r="B18" s="72" t="s">
        <v>19</v>
      </c>
      <c r="C18" s="71">
        <f>SUM(INPUTS!D38:W42)+SUM(INPUTS!D66:W69)</f>
        <v>50000</v>
      </c>
      <c r="D18" s="26"/>
    </row>
    <row r="19" spans="2:10" ht="15" customHeight="1" x14ac:dyDescent="0.25">
      <c r="B19" s="73" t="s">
        <v>20</v>
      </c>
      <c r="C19" s="71">
        <f>IF(INPUTS!D14="NO",SUM(INPUTS!D44:W44)+SUM(INPUTS!D71:W71),0)</f>
        <v>343818.5</v>
      </c>
      <c r="D19" s="26"/>
    </row>
    <row r="20" spans="2:10" ht="15" customHeight="1" thickBot="1" x14ac:dyDescent="0.3">
      <c r="B20" s="89" t="s">
        <v>21</v>
      </c>
      <c r="C20" s="88">
        <f>SUM(C15:C19)</f>
        <v>1769092.5</v>
      </c>
      <c r="D20" s="26"/>
    </row>
    <row r="21" spans="2:10" ht="15.75" thickBot="1" x14ac:dyDescent="0.3"/>
    <row r="22" spans="2:10" ht="19.5" thickBot="1" x14ac:dyDescent="0.3">
      <c r="B22" s="269" t="s">
        <v>22</v>
      </c>
      <c r="C22" s="273"/>
      <c r="D22" s="274"/>
    </row>
    <row r="23" spans="2:10" ht="15.75" thickBot="1" x14ac:dyDescent="0.3"/>
    <row r="24" spans="2:10" ht="45" x14ac:dyDescent="0.25">
      <c r="B24" s="74" t="s">
        <v>23</v>
      </c>
      <c r="C24" s="75" t="s">
        <v>24</v>
      </c>
      <c r="D24" s="76" t="s">
        <v>25</v>
      </c>
      <c r="E24" s="75" t="s">
        <v>26</v>
      </c>
      <c r="F24" s="76" t="s">
        <v>27</v>
      </c>
      <c r="G24" s="75" t="s">
        <v>28</v>
      </c>
      <c r="H24" s="76" t="s">
        <v>29</v>
      </c>
      <c r="I24" s="75" t="s">
        <v>30</v>
      </c>
      <c r="J24" s="76" t="s">
        <v>31</v>
      </c>
    </row>
    <row r="25" spans="2:10" x14ac:dyDescent="0.25">
      <c r="B25" s="77" t="s">
        <v>32</v>
      </c>
      <c r="C25" s="78">
        <f>'Own Funds'!C10</f>
        <v>1769092.5</v>
      </c>
      <c r="D25" s="79">
        <f>'Own funds + Grant'!C14</f>
        <v>909546.25</v>
      </c>
      <c r="E25" s="78">
        <f>'Standard loan'!C10</f>
        <v>1769092.5</v>
      </c>
      <c r="F25" s="79">
        <f>'Loan + Grant'!C12</f>
        <v>909546.25</v>
      </c>
      <c r="G25" s="78">
        <f>'Green loan'!C12</f>
        <v>1769092.5</v>
      </c>
      <c r="H25" s="79">
        <f>'Capital rebate loan (FIs)'!C11</f>
        <v>909546.25</v>
      </c>
      <c r="I25" s="78">
        <f>'Bonds (standard II)'!C17</f>
        <v>1769092.5</v>
      </c>
      <c r="J25" s="79">
        <f>'Bonds (EuGBS-SLB)'!C17</f>
        <v>1769092.5</v>
      </c>
    </row>
    <row r="26" spans="2:10" x14ac:dyDescent="0.25">
      <c r="B26" s="77" t="s">
        <v>33</v>
      </c>
      <c r="C26" s="78">
        <v>0</v>
      </c>
      <c r="D26" s="79">
        <v>0</v>
      </c>
      <c r="E26" s="78">
        <f>'Standard loan'!F10</f>
        <v>521963.22287077131</v>
      </c>
      <c r="F26" s="79">
        <f>'Loan + Grant'!F12</f>
        <v>268357.75517674978</v>
      </c>
      <c r="G26" s="78">
        <f>'Green loan'!F12</f>
        <v>466665.75702678692</v>
      </c>
      <c r="H26" s="79">
        <f>'Capital rebate loan (FIs)'!F10</f>
        <v>268357.75517674978</v>
      </c>
      <c r="I26" s="78">
        <f>'Bonds (standard II)'!F16</f>
        <v>884546.25</v>
      </c>
      <c r="J26" s="79">
        <f>'Bonds (EuGBS-SLB)'!F16</f>
        <v>849164.4</v>
      </c>
    </row>
    <row r="27" spans="2:10" x14ac:dyDescent="0.25">
      <c r="B27" s="77" t="s">
        <v>34</v>
      </c>
      <c r="C27" s="78">
        <f>'Own Funds'!C8</f>
        <v>5307.2775000000001</v>
      </c>
      <c r="D27" s="79">
        <f>'Own funds + Grant'!C10</f>
        <v>14152.74</v>
      </c>
      <c r="E27" s="78">
        <f>'Standard loan'!C7</f>
        <v>5307.2775000000001</v>
      </c>
      <c r="F27" s="79">
        <f>'Loan + Grant'!C9</f>
        <v>22238.65625</v>
      </c>
      <c r="G27" s="78">
        <f>'Green loan'!C9</f>
        <v>12383.647499999999</v>
      </c>
      <c r="H27" s="79">
        <f>'Capital rebate loan (FIs)'!C7</f>
        <v>6366.8237499999996</v>
      </c>
      <c r="I27" s="78">
        <f>'Bonds (standard II)'!C8</f>
        <v>38920.034999999996</v>
      </c>
      <c r="J27" s="79">
        <f>'Bonds (EuGBS-SLB)'!C8</f>
        <v>44227.3125</v>
      </c>
    </row>
    <row r="28" spans="2:10" x14ac:dyDescent="0.25">
      <c r="B28" s="77" t="s">
        <v>35</v>
      </c>
      <c r="C28" s="78">
        <v>0</v>
      </c>
      <c r="D28" s="79">
        <v>0</v>
      </c>
      <c r="E28" s="78">
        <v>0</v>
      </c>
      <c r="F28" s="79">
        <v>0</v>
      </c>
      <c r="G28" s="78">
        <v>0</v>
      </c>
      <c r="H28" s="79">
        <v>0</v>
      </c>
      <c r="I28" s="78">
        <f>'Bonds (standard II)'!C13</f>
        <v>35381.85</v>
      </c>
      <c r="J28" s="79">
        <f>'Bonds (EuGBS-SLB)'!C13</f>
        <v>53072.775000000001</v>
      </c>
    </row>
    <row r="29" spans="2:10" ht="15.75" thickBot="1" x14ac:dyDescent="0.3">
      <c r="B29" s="90" t="s">
        <v>36</v>
      </c>
      <c r="C29" s="91">
        <f>SUM(C25:C28)</f>
        <v>1774399.7775000001</v>
      </c>
      <c r="D29" s="92">
        <f t="shared" ref="D29:I29" si="0">SUM(D25:D28)</f>
        <v>923698.99</v>
      </c>
      <c r="E29" s="91">
        <f t="shared" si="0"/>
        <v>2296363.0003707712</v>
      </c>
      <c r="F29" s="92">
        <f t="shared" si="0"/>
        <v>1200142.6614267498</v>
      </c>
      <c r="G29" s="91">
        <f t="shared" si="0"/>
        <v>2248141.9045267869</v>
      </c>
      <c r="H29" s="92">
        <f t="shared" si="0"/>
        <v>1184270.8289267498</v>
      </c>
      <c r="I29" s="91">
        <f t="shared" si="0"/>
        <v>2727940.6350000002</v>
      </c>
      <c r="J29" s="92">
        <f>SUM(J25:J28)</f>
        <v>2715556.9874999998</v>
      </c>
    </row>
  </sheetData>
  <mergeCells count="6">
    <mergeCell ref="B5:C5"/>
    <mergeCell ref="B12:C12"/>
    <mergeCell ref="B22:D22"/>
    <mergeCell ref="D7:M7"/>
    <mergeCell ref="D9:M9"/>
    <mergeCell ref="B14:C1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C67DE-CE8E-4AFF-AB13-4E85B1A88A2D}">
  <sheetPr codeName="Sheet4">
    <tabColor rgb="FFFFFF00"/>
  </sheetPr>
  <dimension ref="A1:AL80"/>
  <sheetViews>
    <sheetView zoomScaleNormal="100" workbookViewId="0">
      <selection activeCell="B14" sqref="B14"/>
    </sheetView>
  </sheetViews>
  <sheetFormatPr defaultColWidth="8.85546875" defaultRowHeight="13.5" x14ac:dyDescent="0.25"/>
  <cols>
    <col min="1" max="1" width="1.85546875" style="31" customWidth="1"/>
    <col min="2" max="2" width="71.42578125" style="31" customWidth="1"/>
    <col min="3" max="3" width="9.42578125" style="31" customWidth="1"/>
    <col min="4" max="4" width="13" style="31" customWidth="1"/>
    <col min="5" max="7" width="10.42578125" style="31" bestFit="1" customWidth="1"/>
    <col min="8" max="9" width="9.140625" style="31" bestFit="1" customWidth="1"/>
    <col min="10" max="23" width="8.85546875" style="31" bestFit="1" customWidth="1"/>
    <col min="24" max="24" width="10.42578125" style="31" customWidth="1"/>
    <col min="25" max="25" width="31.85546875" style="31" customWidth="1"/>
    <col min="26" max="26" width="7" style="31" customWidth="1"/>
    <col min="27" max="16384" width="8.85546875" style="31"/>
  </cols>
  <sheetData>
    <row r="1" spans="1:38" ht="26.45" customHeight="1" x14ac:dyDescent="0.45">
      <c r="A1" s="24"/>
      <c r="B1" s="24"/>
      <c r="C1" s="24"/>
      <c r="D1" s="24"/>
      <c r="E1" s="24"/>
      <c r="F1" s="24"/>
      <c r="G1" s="24"/>
      <c r="H1" s="24"/>
      <c r="I1" s="24"/>
      <c r="J1" s="24"/>
      <c r="K1" s="24"/>
      <c r="L1" s="24"/>
      <c r="M1" s="24"/>
      <c r="N1" s="24"/>
      <c r="O1" s="24"/>
      <c r="P1" s="24"/>
      <c r="Q1" s="24"/>
      <c r="R1" s="24"/>
      <c r="S1" s="24"/>
      <c r="T1" s="24"/>
      <c r="U1" s="24"/>
      <c r="V1" s="24"/>
      <c r="W1" s="24"/>
      <c r="X1" s="24"/>
      <c r="Y1" s="24"/>
      <c r="Z1" s="30"/>
      <c r="AA1" s="30"/>
      <c r="AB1" s="30"/>
      <c r="AC1" s="30"/>
      <c r="AD1" s="30"/>
      <c r="AE1" s="30"/>
      <c r="AF1" s="30"/>
      <c r="AG1" s="30"/>
      <c r="AH1" s="30"/>
      <c r="AI1" s="30"/>
      <c r="AJ1" s="30"/>
      <c r="AK1" s="30"/>
      <c r="AL1" s="30"/>
    </row>
    <row r="2" spans="1:38" ht="26.45" customHeight="1" x14ac:dyDescent="0.45">
      <c r="A2" s="24"/>
      <c r="B2" s="24"/>
      <c r="C2" s="24"/>
      <c r="D2" s="24"/>
      <c r="E2" s="24"/>
      <c r="F2" s="24"/>
      <c r="G2" s="24"/>
      <c r="H2" s="24"/>
      <c r="I2" s="24"/>
      <c r="J2" s="24"/>
      <c r="K2" s="24"/>
      <c r="L2" s="24"/>
      <c r="M2" s="24"/>
      <c r="N2" s="24"/>
      <c r="O2" s="24"/>
      <c r="P2" s="24"/>
      <c r="Q2" s="24"/>
      <c r="R2" s="24"/>
      <c r="S2" s="24"/>
      <c r="T2" s="24"/>
      <c r="U2" s="24"/>
      <c r="V2" s="24"/>
      <c r="W2" s="24"/>
      <c r="X2" s="24"/>
      <c r="Y2" s="24"/>
      <c r="Z2" s="30"/>
      <c r="AA2" s="30"/>
      <c r="AB2" s="30"/>
      <c r="AC2" s="30"/>
      <c r="AD2" s="30"/>
      <c r="AE2" s="30"/>
      <c r="AF2" s="30"/>
      <c r="AG2" s="30"/>
      <c r="AH2" s="30"/>
      <c r="AI2" s="30"/>
      <c r="AJ2" s="30"/>
      <c r="AK2" s="30"/>
      <c r="AL2" s="30"/>
    </row>
    <row r="3" spans="1:38" s="23" customFormat="1" ht="15" x14ac:dyDescent="0.25"/>
    <row r="4" spans="1:38" s="23" customFormat="1" ht="15" hidden="1" x14ac:dyDescent="0.25">
      <c r="B4" s="23" t="s">
        <v>37</v>
      </c>
    </row>
    <row r="5" spans="1:38" s="23" customFormat="1" ht="15" hidden="1" x14ac:dyDescent="0.25">
      <c r="B5" s="23" t="s">
        <v>38</v>
      </c>
    </row>
    <row r="6" spans="1:38" s="23" customFormat="1" ht="15.75" thickBot="1" x14ac:dyDescent="0.3"/>
    <row r="7" spans="1:38" s="23" customFormat="1" ht="16.5" thickBot="1" x14ac:dyDescent="0.3">
      <c r="B7" s="245" t="s">
        <v>39</v>
      </c>
      <c r="C7" s="225" t="s">
        <v>40</v>
      </c>
      <c r="D7" s="224" t="s">
        <v>41</v>
      </c>
      <c r="E7" s="70"/>
      <c r="F7" s="70"/>
      <c r="G7" s="70"/>
      <c r="H7" s="70"/>
      <c r="I7" s="70"/>
      <c r="J7" s="70"/>
    </row>
    <row r="8" spans="1:38" s="23" customFormat="1" ht="15" x14ac:dyDescent="0.25">
      <c r="B8" s="93" t="s">
        <v>42</v>
      </c>
      <c r="C8" s="94" t="s">
        <v>43</v>
      </c>
      <c r="D8" s="95" t="s">
        <v>44</v>
      </c>
      <c r="E8" s="96" t="s">
        <v>45</v>
      </c>
      <c r="F8" s="70"/>
      <c r="G8" s="70"/>
      <c r="H8" s="70"/>
      <c r="I8" s="70"/>
      <c r="J8" s="70"/>
    </row>
    <row r="9" spans="1:38" s="23" customFormat="1" ht="15" x14ac:dyDescent="0.25">
      <c r="B9" s="93" t="str">
        <f>Currency&amp;" to EUR conversion ratio"</f>
        <v>EUR to EUR conversion ratio</v>
      </c>
      <c r="C9" s="94" t="s">
        <v>43</v>
      </c>
      <c r="D9" s="95">
        <v>1</v>
      </c>
      <c r="E9" s="70"/>
      <c r="F9" s="70"/>
      <c r="G9" s="70"/>
      <c r="H9" s="70"/>
      <c r="I9" s="70"/>
      <c r="J9" s="70"/>
    </row>
    <row r="10" spans="1:38" s="23" customFormat="1" ht="15" x14ac:dyDescent="0.25">
      <c r="B10" s="93" t="s">
        <v>46</v>
      </c>
      <c r="C10" s="94"/>
      <c r="D10" s="95">
        <v>2025</v>
      </c>
      <c r="E10" s="70"/>
      <c r="F10" s="70"/>
      <c r="G10" s="70"/>
      <c r="H10" s="70"/>
      <c r="I10" s="70"/>
      <c r="J10" s="70"/>
    </row>
    <row r="11" spans="1:38" s="23" customFormat="1" ht="15" x14ac:dyDescent="0.25">
      <c r="B11" s="93" t="s">
        <v>47</v>
      </c>
      <c r="C11" s="94" t="s">
        <v>48</v>
      </c>
      <c r="D11" s="95">
        <v>1</v>
      </c>
      <c r="E11" s="70"/>
      <c r="F11" s="70"/>
      <c r="G11" s="70"/>
      <c r="H11" s="70"/>
      <c r="I11" s="70"/>
      <c r="J11" s="70"/>
    </row>
    <row r="12" spans="1:38" s="23" customFormat="1" ht="15" x14ac:dyDescent="0.25">
      <c r="B12" s="93" t="s">
        <v>49</v>
      </c>
      <c r="C12" s="94" t="s">
        <v>50</v>
      </c>
      <c r="D12" s="97">
        <v>0.5</v>
      </c>
      <c r="E12" s="70"/>
      <c r="F12" s="70"/>
      <c r="G12" s="70"/>
      <c r="H12" s="70"/>
      <c r="I12" s="70"/>
      <c r="J12" s="70"/>
    </row>
    <row r="13" spans="1:38" s="23" customFormat="1" ht="15" x14ac:dyDescent="0.25">
      <c r="B13" s="93" t="s">
        <v>51</v>
      </c>
      <c r="C13" s="94" t="s">
        <v>48</v>
      </c>
      <c r="D13" s="95">
        <v>20</v>
      </c>
      <c r="E13" s="70"/>
      <c r="F13" s="70"/>
      <c r="G13" s="70"/>
      <c r="H13" s="70"/>
      <c r="I13" s="70"/>
      <c r="J13" s="70"/>
    </row>
    <row r="14" spans="1:38" s="23" customFormat="1" ht="15" x14ac:dyDescent="0.25">
      <c r="B14" s="93" t="s">
        <v>52</v>
      </c>
      <c r="C14" s="94"/>
      <c r="D14" s="95" t="s">
        <v>38</v>
      </c>
      <c r="E14" s="70"/>
      <c r="F14" s="70"/>
      <c r="G14" s="70"/>
      <c r="H14" s="70"/>
      <c r="I14" s="70"/>
      <c r="J14" s="70"/>
    </row>
    <row r="15" spans="1:38" s="23" customFormat="1" ht="15" x14ac:dyDescent="0.25"/>
    <row r="16" spans="1:38" s="23" customFormat="1" ht="15.75" thickBot="1" x14ac:dyDescent="0.3"/>
    <row r="17" spans="2:25" s="23" customFormat="1" ht="21.6" customHeight="1" thickBot="1" x14ac:dyDescent="0.3">
      <c r="B17" s="103" t="s">
        <v>53</v>
      </c>
    </row>
    <row r="18" spans="2:25" s="23" customFormat="1" ht="15.75" thickBot="1" x14ac:dyDescent="0.3"/>
    <row r="19" spans="2:25" s="23" customFormat="1" ht="30.95" customHeight="1" thickBot="1" x14ac:dyDescent="0.3">
      <c r="B19" s="128" t="s">
        <v>54</v>
      </c>
      <c r="C19" s="67"/>
      <c r="D19" s="67">
        <f>D10</f>
        <v>2025</v>
      </c>
      <c r="E19" s="67">
        <f>D19+1</f>
        <v>2026</v>
      </c>
      <c r="F19" s="67">
        <f t="shared" ref="F19:W19" si="0">E19+1</f>
        <v>2027</v>
      </c>
      <c r="G19" s="67">
        <f t="shared" si="0"/>
        <v>2028</v>
      </c>
      <c r="H19" s="67">
        <f t="shared" si="0"/>
        <v>2029</v>
      </c>
      <c r="I19" s="67">
        <f t="shared" si="0"/>
        <v>2030</v>
      </c>
      <c r="J19" s="67">
        <f t="shared" si="0"/>
        <v>2031</v>
      </c>
      <c r="K19" s="67">
        <f t="shared" si="0"/>
        <v>2032</v>
      </c>
      <c r="L19" s="67">
        <f t="shared" si="0"/>
        <v>2033</v>
      </c>
      <c r="M19" s="67">
        <f t="shared" si="0"/>
        <v>2034</v>
      </c>
      <c r="N19" s="67">
        <f t="shared" si="0"/>
        <v>2035</v>
      </c>
      <c r="O19" s="67">
        <f t="shared" si="0"/>
        <v>2036</v>
      </c>
      <c r="P19" s="67">
        <f t="shared" si="0"/>
        <v>2037</v>
      </c>
      <c r="Q19" s="67">
        <f t="shared" si="0"/>
        <v>2038</v>
      </c>
      <c r="R19" s="67">
        <f t="shared" si="0"/>
        <v>2039</v>
      </c>
      <c r="S19" s="67">
        <f t="shared" si="0"/>
        <v>2040</v>
      </c>
      <c r="T19" s="67">
        <f t="shared" si="0"/>
        <v>2041</v>
      </c>
      <c r="U19" s="67">
        <f t="shared" si="0"/>
        <v>2042</v>
      </c>
      <c r="V19" s="67">
        <f t="shared" si="0"/>
        <v>2043</v>
      </c>
      <c r="W19" s="67">
        <f t="shared" si="0"/>
        <v>2044</v>
      </c>
      <c r="X19" s="226" t="s">
        <v>55</v>
      </c>
      <c r="Y19" s="227" t="s">
        <v>56</v>
      </c>
    </row>
    <row r="20" spans="2:25" s="23" customFormat="1" ht="15" x14ac:dyDescent="0.25">
      <c r="B20" s="233"/>
      <c r="C20" s="26"/>
      <c r="D20" s="26"/>
      <c r="E20" s="26"/>
      <c r="F20" s="26"/>
      <c r="G20" s="26"/>
      <c r="H20" s="26"/>
      <c r="I20" s="26"/>
      <c r="J20" s="26"/>
      <c r="K20" s="26"/>
      <c r="L20" s="26"/>
      <c r="M20" s="26"/>
      <c r="N20" s="26"/>
      <c r="O20" s="26"/>
      <c r="P20" s="26"/>
      <c r="Q20" s="26"/>
      <c r="R20" s="26"/>
      <c r="S20" s="26"/>
      <c r="T20" s="26"/>
      <c r="U20" s="26"/>
      <c r="V20" s="26"/>
      <c r="W20" s="26"/>
      <c r="X20" s="26"/>
      <c r="Y20" s="237"/>
    </row>
    <row r="21" spans="2:25" s="23" customFormat="1" ht="15" x14ac:dyDescent="0.25">
      <c r="B21" s="166" t="s">
        <v>57</v>
      </c>
      <c r="C21" s="94" t="str">
        <f>Currency</f>
        <v>EUR</v>
      </c>
      <c r="D21" s="98" t="str">
        <f t="shared" ref="D21:M22" si="1">IF(D$19&gt;($D$10+$D$11-1),0,"")</f>
        <v/>
      </c>
      <c r="E21" s="98">
        <f t="shared" si="1"/>
        <v>0</v>
      </c>
      <c r="F21" s="98">
        <f t="shared" si="1"/>
        <v>0</v>
      </c>
      <c r="G21" s="98">
        <f t="shared" si="1"/>
        <v>0</v>
      </c>
      <c r="H21" s="98">
        <f t="shared" si="1"/>
        <v>0</v>
      </c>
      <c r="I21" s="98">
        <f t="shared" si="1"/>
        <v>0</v>
      </c>
      <c r="J21" s="98">
        <f t="shared" si="1"/>
        <v>0</v>
      </c>
      <c r="K21" s="98">
        <f t="shared" si="1"/>
        <v>0</v>
      </c>
      <c r="L21" s="98">
        <f t="shared" si="1"/>
        <v>0</v>
      </c>
      <c r="M21" s="98">
        <f t="shared" si="1"/>
        <v>0</v>
      </c>
      <c r="N21" s="98">
        <f t="shared" ref="N21:W22" si="2">IF(N$19&gt;($D$10+$D$11-1),0,"")</f>
        <v>0</v>
      </c>
      <c r="O21" s="98">
        <f t="shared" si="2"/>
        <v>0</v>
      </c>
      <c r="P21" s="98">
        <f t="shared" si="2"/>
        <v>0</v>
      </c>
      <c r="Q21" s="98">
        <f t="shared" si="2"/>
        <v>0</v>
      </c>
      <c r="R21" s="98">
        <f t="shared" si="2"/>
        <v>0</v>
      </c>
      <c r="S21" s="98">
        <f t="shared" si="2"/>
        <v>0</v>
      </c>
      <c r="T21" s="98">
        <f t="shared" si="2"/>
        <v>0</v>
      </c>
      <c r="U21" s="98">
        <f t="shared" si="2"/>
        <v>0</v>
      </c>
      <c r="V21" s="98">
        <f t="shared" si="2"/>
        <v>0</v>
      </c>
      <c r="W21" s="98">
        <f t="shared" si="2"/>
        <v>0</v>
      </c>
      <c r="X21" s="98">
        <v>0</v>
      </c>
      <c r="Y21" s="238">
        <v>0</v>
      </c>
    </row>
    <row r="22" spans="2:25" s="23" customFormat="1" ht="15" x14ac:dyDescent="0.25">
      <c r="B22" s="166" t="s">
        <v>58</v>
      </c>
      <c r="C22" s="94" t="str">
        <f t="shared" ref="C22:C45" si="3">Currency</f>
        <v>EUR</v>
      </c>
      <c r="D22" s="98" t="str">
        <f t="shared" si="1"/>
        <v/>
      </c>
      <c r="E22" s="98">
        <f t="shared" si="1"/>
        <v>0</v>
      </c>
      <c r="F22" s="98">
        <f t="shared" si="1"/>
        <v>0</v>
      </c>
      <c r="G22" s="98">
        <f t="shared" si="1"/>
        <v>0</v>
      </c>
      <c r="H22" s="98">
        <f t="shared" si="1"/>
        <v>0</v>
      </c>
      <c r="I22" s="98">
        <f t="shared" si="1"/>
        <v>0</v>
      </c>
      <c r="J22" s="98">
        <f t="shared" si="1"/>
        <v>0</v>
      </c>
      <c r="K22" s="98">
        <f t="shared" si="1"/>
        <v>0</v>
      </c>
      <c r="L22" s="98">
        <f t="shared" si="1"/>
        <v>0</v>
      </c>
      <c r="M22" s="98">
        <f t="shared" si="1"/>
        <v>0</v>
      </c>
      <c r="N22" s="98">
        <f t="shared" si="2"/>
        <v>0</v>
      </c>
      <c r="O22" s="98">
        <f t="shared" si="2"/>
        <v>0</v>
      </c>
      <c r="P22" s="98">
        <f t="shared" si="2"/>
        <v>0</v>
      </c>
      <c r="Q22" s="98">
        <f t="shared" si="2"/>
        <v>0</v>
      </c>
      <c r="R22" s="98">
        <f t="shared" si="2"/>
        <v>0</v>
      </c>
      <c r="S22" s="98">
        <f t="shared" si="2"/>
        <v>0</v>
      </c>
      <c r="T22" s="98">
        <f t="shared" si="2"/>
        <v>0</v>
      </c>
      <c r="U22" s="98">
        <f t="shared" si="2"/>
        <v>0</v>
      </c>
      <c r="V22" s="98">
        <f t="shared" si="2"/>
        <v>0</v>
      </c>
      <c r="W22" s="98">
        <f t="shared" si="2"/>
        <v>0</v>
      </c>
      <c r="X22" s="98">
        <v>0</v>
      </c>
      <c r="Y22" s="238">
        <v>0</v>
      </c>
    </row>
    <row r="23" spans="2:25" s="23" customFormat="1" ht="15" x14ac:dyDescent="0.25">
      <c r="B23" s="239" t="s">
        <v>59</v>
      </c>
      <c r="C23" s="234"/>
      <c r="D23" s="99"/>
      <c r="E23" s="99"/>
      <c r="F23" s="99"/>
      <c r="G23" s="99"/>
      <c r="H23" s="99"/>
      <c r="I23" s="99"/>
      <c r="J23" s="99"/>
      <c r="K23" s="99"/>
      <c r="L23" s="99"/>
      <c r="M23" s="99"/>
      <c r="N23" s="99"/>
      <c r="O23" s="99"/>
      <c r="P23" s="99"/>
      <c r="Q23" s="99"/>
      <c r="R23" s="99"/>
      <c r="S23" s="99"/>
      <c r="T23" s="99"/>
      <c r="U23" s="99"/>
      <c r="V23" s="99"/>
      <c r="W23" s="99"/>
      <c r="X23" s="98"/>
      <c r="Y23" s="238"/>
    </row>
    <row r="24" spans="2:25" s="23" customFormat="1" ht="15" x14ac:dyDescent="0.25">
      <c r="B24" s="240" t="s">
        <v>60</v>
      </c>
      <c r="C24" s="94" t="str">
        <f t="shared" si="3"/>
        <v>EUR</v>
      </c>
      <c r="D24" s="98" t="str">
        <f t="shared" ref="D24:W24" si="4">IF(D$19&gt;($D$10+$D$11-1),0,"")</f>
        <v/>
      </c>
      <c r="E24" s="98">
        <f t="shared" si="4"/>
        <v>0</v>
      </c>
      <c r="F24" s="98">
        <f t="shared" si="4"/>
        <v>0</v>
      </c>
      <c r="G24" s="98">
        <f t="shared" si="4"/>
        <v>0</v>
      </c>
      <c r="H24" s="98">
        <f t="shared" si="4"/>
        <v>0</v>
      </c>
      <c r="I24" s="98">
        <f t="shared" si="4"/>
        <v>0</v>
      </c>
      <c r="J24" s="98">
        <f t="shared" si="4"/>
        <v>0</v>
      </c>
      <c r="K24" s="98">
        <f t="shared" si="4"/>
        <v>0</v>
      </c>
      <c r="L24" s="98">
        <f t="shared" si="4"/>
        <v>0</v>
      </c>
      <c r="M24" s="98">
        <f t="shared" si="4"/>
        <v>0</v>
      </c>
      <c r="N24" s="98">
        <f t="shared" si="4"/>
        <v>0</v>
      </c>
      <c r="O24" s="98">
        <f t="shared" si="4"/>
        <v>0</v>
      </c>
      <c r="P24" s="98">
        <f t="shared" si="4"/>
        <v>0</v>
      </c>
      <c r="Q24" s="98">
        <f t="shared" si="4"/>
        <v>0</v>
      </c>
      <c r="R24" s="98">
        <f t="shared" si="4"/>
        <v>0</v>
      </c>
      <c r="S24" s="98">
        <f t="shared" si="4"/>
        <v>0</v>
      </c>
      <c r="T24" s="98">
        <f t="shared" si="4"/>
        <v>0</v>
      </c>
      <c r="U24" s="98">
        <f t="shared" si="4"/>
        <v>0</v>
      </c>
      <c r="V24" s="98">
        <f t="shared" si="4"/>
        <v>0</v>
      </c>
      <c r="W24" s="98">
        <f t="shared" si="4"/>
        <v>0</v>
      </c>
      <c r="X24" s="98">
        <v>40</v>
      </c>
      <c r="Y24" s="238">
        <f t="shared" ref="Y24:Y42" si="5">IF(X24&gt;$D$13-$D$11,SUM(D24:W24)*((X24-$D$13+$D$11)/X24),0)</f>
        <v>0</v>
      </c>
    </row>
    <row r="25" spans="2:25" s="23" customFormat="1" ht="15" x14ac:dyDescent="0.25">
      <c r="B25" s="240" t="s">
        <v>61</v>
      </c>
      <c r="C25" s="94" t="str">
        <f t="shared" si="3"/>
        <v>EUR</v>
      </c>
      <c r="D25" s="98">
        <v>433207</v>
      </c>
      <c r="E25" s="98">
        <f t="shared" ref="E25:N29" si="6">IF(E$19&gt;($D$10+$D$11-1),0,"")</f>
        <v>0</v>
      </c>
      <c r="F25" s="98">
        <f t="shared" si="6"/>
        <v>0</v>
      </c>
      <c r="G25" s="98">
        <f t="shared" si="6"/>
        <v>0</v>
      </c>
      <c r="H25" s="98">
        <f t="shared" si="6"/>
        <v>0</v>
      </c>
      <c r="I25" s="98">
        <f t="shared" si="6"/>
        <v>0</v>
      </c>
      <c r="J25" s="98">
        <f t="shared" si="6"/>
        <v>0</v>
      </c>
      <c r="K25" s="98">
        <f t="shared" si="6"/>
        <v>0</v>
      </c>
      <c r="L25" s="98">
        <f t="shared" si="6"/>
        <v>0</v>
      </c>
      <c r="M25" s="98">
        <f t="shared" si="6"/>
        <v>0</v>
      </c>
      <c r="N25" s="98">
        <f t="shared" si="6"/>
        <v>0</v>
      </c>
      <c r="O25" s="98">
        <f t="shared" ref="O25:W29" si="7">IF(O$19&gt;($D$10+$D$11-1),0,"")</f>
        <v>0</v>
      </c>
      <c r="P25" s="98">
        <f t="shared" si="7"/>
        <v>0</v>
      </c>
      <c r="Q25" s="98">
        <f t="shared" si="7"/>
        <v>0</v>
      </c>
      <c r="R25" s="98">
        <f t="shared" si="7"/>
        <v>0</v>
      </c>
      <c r="S25" s="98">
        <f t="shared" si="7"/>
        <v>0</v>
      </c>
      <c r="T25" s="98">
        <f t="shared" si="7"/>
        <v>0</v>
      </c>
      <c r="U25" s="98">
        <f t="shared" si="7"/>
        <v>0</v>
      </c>
      <c r="V25" s="98">
        <f t="shared" si="7"/>
        <v>0</v>
      </c>
      <c r="W25" s="98">
        <f t="shared" si="7"/>
        <v>0</v>
      </c>
      <c r="X25" s="98">
        <v>40</v>
      </c>
      <c r="Y25" s="238">
        <f t="shared" si="5"/>
        <v>227433.67500000002</v>
      </c>
    </row>
    <row r="26" spans="2:25" s="23" customFormat="1" ht="15" x14ac:dyDescent="0.25">
      <c r="B26" s="240" t="s">
        <v>62</v>
      </c>
      <c r="C26" s="94" t="str">
        <f t="shared" si="3"/>
        <v>EUR</v>
      </c>
      <c r="D26" s="98">
        <v>286681</v>
      </c>
      <c r="E26" s="98">
        <f t="shared" si="6"/>
        <v>0</v>
      </c>
      <c r="F26" s="98">
        <f t="shared" si="6"/>
        <v>0</v>
      </c>
      <c r="G26" s="98">
        <f t="shared" si="6"/>
        <v>0</v>
      </c>
      <c r="H26" s="98">
        <f t="shared" si="6"/>
        <v>0</v>
      </c>
      <c r="I26" s="98">
        <f t="shared" si="6"/>
        <v>0</v>
      </c>
      <c r="J26" s="98">
        <f t="shared" si="6"/>
        <v>0</v>
      </c>
      <c r="K26" s="98">
        <f t="shared" si="6"/>
        <v>0</v>
      </c>
      <c r="L26" s="98">
        <f t="shared" si="6"/>
        <v>0</v>
      </c>
      <c r="M26" s="98">
        <f t="shared" si="6"/>
        <v>0</v>
      </c>
      <c r="N26" s="98">
        <f t="shared" si="6"/>
        <v>0</v>
      </c>
      <c r="O26" s="98">
        <f t="shared" si="7"/>
        <v>0</v>
      </c>
      <c r="P26" s="98">
        <f t="shared" si="7"/>
        <v>0</v>
      </c>
      <c r="Q26" s="98">
        <f t="shared" si="7"/>
        <v>0</v>
      </c>
      <c r="R26" s="98">
        <f t="shared" si="7"/>
        <v>0</v>
      </c>
      <c r="S26" s="98">
        <f t="shared" si="7"/>
        <v>0</v>
      </c>
      <c r="T26" s="98">
        <f t="shared" si="7"/>
        <v>0</v>
      </c>
      <c r="U26" s="98">
        <f t="shared" si="7"/>
        <v>0</v>
      </c>
      <c r="V26" s="98">
        <f t="shared" si="7"/>
        <v>0</v>
      </c>
      <c r="W26" s="98">
        <f t="shared" si="7"/>
        <v>0</v>
      </c>
      <c r="X26" s="98">
        <v>20</v>
      </c>
      <c r="Y26" s="238">
        <f t="shared" si="5"/>
        <v>14334.050000000001</v>
      </c>
    </row>
    <row r="27" spans="2:25" s="23" customFormat="1" ht="15" x14ac:dyDescent="0.25">
      <c r="B27" s="240" t="s">
        <v>63</v>
      </c>
      <c r="C27" s="94" t="str">
        <f t="shared" si="3"/>
        <v>EUR</v>
      </c>
      <c r="D27" s="98" t="str">
        <f>IF(D$19&gt;($D$10+$D$11-1),0,"")</f>
        <v/>
      </c>
      <c r="E27" s="98">
        <f t="shared" si="6"/>
        <v>0</v>
      </c>
      <c r="F27" s="98">
        <f t="shared" si="6"/>
        <v>0</v>
      </c>
      <c r="G27" s="98">
        <f t="shared" si="6"/>
        <v>0</v>
      </c>
      <c r="H27" s="98">
        <f t="shared" si="6"/>
        <v>0</v>
      </c>
      <c r="I27" s="98">
        <f t="shared" si="6"/>
        <v>0</v>
      </c>
      <c r="J27" s="98">
        <f t="shared" si="6"/>
        <v>0</v>
      </c>
      <c r="K27" s="98">
        <f t="shared" si="6"/>
        <v>0</v>
      </c>
      <c r="L27" s="98">
        <f t="shared" si="6"/>
        <v>0</v>
      </c>
      <c r="M27" s="98">
        <f t="shared" si="6"/>
        <v>0</v>
      </c>
      <c r="N27" s="98">
        <f t="shared" si="6"/>
        <v>0</v>
      </c>
      <c r="O27" s="98">
        <f t="shared" si="7"/>
        <v>0</v>
      </c>
      <c r="P27" s="98">
        <f t="shared" si="7"/>
        <v>0</v>
      </c>
      <c r="Q27" s="98">
        <f t="shared" si="7"/>
        <v>0</v>
      </c>
      <c r="R27" s="98">
        <f t="shared" si="7"/>
        <v>0</v>
      </c>
      <c r="S27" s="98">
        <f t="shared" si="7"/>
        <v>0</v>
      </c>
      <c r="T27" s="98">
        <f t="shared" si="7"/>
        <v>0</v>
      </c>
      <c r="U27" s="98">
        <f t="shared" si="7"/>
        <v>0</v>
      </c>
      <c r="V27" s="98">
        <f t="shared" si="7"/>
        <v>0</v>
      </c>
      <c r="W27" s="98">
        <f t="shared" si="7"/>
        <v>0</v>
      </c>
      <c r="X27" s="98">
        <v>40</v>
      </c>
      <c r="Y27" s="238">
        <f t="shared" si="5"/>
        <v>0</v>
      </c>
    </row>
    <row r="28" spans="2:25" s="23" customFormat="1" ht="15" x14ac:dyDescent="0.25">
      <c r="B28" s="240" t="s">
        <v>64</v>
      </c>
      <c r="C28" s="94" t="str">
        <f t="shared" si="3"/>
        <v>EUR</v>
      </c>
      <c r="D28" s="98" t="str">
        <f>IF(D$19&gt;($D$10+$D$11-1),0,"")</f>
        <v/>
      </c>
      <c r="E28" s="98">
        <f t="shared" si="6"/>
        <v>0</v>
      </c>
      <c r="F28" s="98">
        <f t="shared" si="6"/>
        <v>0</v>
      </c>
      <c r="G28" s="98">
        <f t="shared" si="6"/>
        <v>0</v>
      </c>
      <c r="H28" s="98">
        <f t="shared" si="6"/>
        <v>0</v>
      </c>
      <c r="I28" s="98">
        <f t="shared" si="6"/>
        <v>0</v>
      </c>
      <c r="J28" s="98">
        <f t="shared" si="6"/>
        <v>0</v>
      </c>
      <c r="K28" s="98">
        <f t="shared" si="6"/>
        <v>0</v>
      </c>
      <c r="L28" s="98">
        <f t="shared" si="6"/>
        <v>0</v>
      </c>
      <c r="M28" s="98">
        <f t="shared" si="6"/>
        <v>0</v>
      </c>
      <c r="N28" s="98">
        <f t="shared" si="6"/>
        <v>0</v>
      </c>
      <c r="O28" s="98">
        <f t="shared" si="7"/>
        <v>0</v>
      </c>
      <c r="P28" s="98">
        <f t="shared" si="7"/>
        <v>0</v>
      </c>
      <c r="Q28" s="98">
        <f t="shared" si="7"/>
        <v>0</v>
      </c>
      <c r="R28" s="98">
        <f t="shared" si="7"/>
        <v>0</v>
      </c>
      <c r="S28" s="98">
        <f t="shared" si="7"/>
        <v>0</v>
      </c>
      <c r="T28" s="98">
        <f t="shared" si="7"/>
        <v>0</v>
      </c>
      <c r="U28" s="98">
        <f t="shared" si="7"/>
        <v>0</v>
      </c>
      <c r="V28" s="98">
        <f t="shared" si="7"/>
        <v>0</v>
      </c>
      <c r="W28" s="98">
        <f t="shared" si="7"/>
        <v>0</v>
      </c>
      <c r="X28" s="98">
        <v>20</v>
      </c>
      <c r="Y28" s="238">
        <f t="shared" si="5"/>
        <v>0</v>
      </c>
    </row>
    <row r="29" spans="2:25" s="23" customFormat="1" ht="15" x14ac:dyDescent="0.25">
      <c r="B29" s="240" t="s">
        <v>65</v>
      </c>
      <c r="C29" s="94" t="str">
        <f t="shared" si="3"/>
        <v>EUR</v>
      </c>
      <c r="D29" s="98">
        <v>145995</v>
      </c>
      <c r="E29" s="98">
        <f t="shared" si="6"/>
        <v>0</v>
      </c>
      <c r="F29" s="98">
        <f t="shared" si="6"/>
        <v>0</v>
      </c>
      <c r="G29" s="98">
        <f t="shared" si="6"/>
        <v>0</v>
      </c>
      <c r="H29" s="98">
        <f t="shared" si="6"/>
        <v>0</v>
      </c>
      <c r="I29" s="98">
        <f t="shared" si="6"/>
        <v>0</v>
      </c>
      <c r="J29" s="98">
        <f t="shared" si="6"/>
        <v>0</v>
      </c>
      <c r="K29" s="98">
        <f t="shared" si="6"/>
        <v>0</v>
      </c>
      <c r="L29" s="98">
        <f t="shared" si="6"/>
        <v>0</v>
      </c>
      <c r="M29" s="98">
        <f t="shared" si="6"/>
        <v>0</v>
      </c>
      <c r="N29" s="98">
        <f t="shared" si="6"/>
        <v>0</v>
      </c>
      <c r="O29" s="98">
        <f t="shared" si="7"/>
        <v>0</v>
      </c>
      <c r="P29" s="98">
        <f t="shared" si="7"/>
        <v>0</v>
      </c>
      <c r="Q29" s="98">
        <f t="shared" si="7"/>
        <v>0</v>
      </c>
      <c r="R29" s="98">
        <f t="shared" si="7"/>
        <v>0</v>
      </c>
      <c r="S29" s="98">
        <f t="shared" si="7"/>
        <v>0</v>
      </c>
      <c r="T29" s="98">
        <f t="shared" si="7"/>
        <v>0</v>
      </c>
      <c r="U29" s="98">
        <f t="shared" si="7"/>
        <v>0</v>
      </c>
      <c r="V29" s="98">
        <f t="shared" si="7"/>
        <v>0</v>
      </c>
      <c r="W29" s="98">
        <f t="shared" si="7"/>
        <v>0</v>
      </c>
      <c r="X29" s="98">
        <v>20</v>
      </c>
      <c r="Y29" s="238">
        <f t="shared" si="5"/>
        <v>7299.75</v>
      </c>
    </row>
    <row r="30" spans="2:25" s="23" customFormat="1" ht="15" x14ac:dyDescent="0.25">
      <c r="B30" s="239" t="s">
        <v>66</v>
      </c>
      <c r="C30" s="234"/>
      <c r="D30" s="99"/>
      <c r="E30" s="99"/>
      <c r="F30" s="99"/>
      <c r="G30" s="99"/>
      <c r="H30" s="99"/>
      <c r="I30" s="99"/>
      <c r="J30" s="99"/>
      <c r="K30" s="99"/>
      <c r="L30" s="99"/>
      <c r="M30" s="99"/>
      <c r="N30" s="99"/>
      <c r="O30" s="99"/>
      <c r="P30" s="99"/>
      <c r="Q30" s="99"/>
      <c r="R30" s="99"/>
      <c r="S30" s="99"/>
      <c r="T30" s="99"/>
      <c r="U30" s="99"/>
      <c r="V30" s="99"/>
      <c r="W30" s="99"/>
      <c r="X30" s="98"/>
      <c r="Y30" s="238">
        <f t="shared" si="5"/>
        <v>0</v>
      </c>
    </row>
    <row r="31" spans="2:25" s="23" customFormat="1" ht="15" x14ac:dyDescent="0.25">
      <c r="B31" s="240" t="s">
        <v>67</v>
      </c>
      <c r="C31" s="94" t="str">
        <f t="shared" si="3"/>
        <v>EUR</v>
      </c>
      <c r="D31" s="98">
        <v>266774</v>
      </c>
      <c r="E31" s="98">
        <f t="shared" ref="E31:N42" si="8">IF(E$19&gt;($D$10+$D$11-1),0,"")</f>
        <v>0</v>
      </c>
      <c r="F31" s="98">
        <f t="shared" si="8"/>
        <v>0</v>
      </c>
      <c r="G31" s="98">
        <f t="shared" si="8"/>
        <v>0</v>
      </c>
      <c r="H31" s="98">
        <f t="shared" si="8"/>
        <v>0</v>
      </c>
      <c r="I31" s="98">
        <f t="shared" si="8"/>
        <v>0</v>
      </c>
      <c r="J31" s="98">
        <f t="shared" si="8"/>
        <v>0</v>
      </c>
      <c r="K31" s="98">
        <f t="shared" si="8"/>
        <v>0</v>
      </c>
      <c r="L31" s="98">
        <f t="shared" si="8"/>
        <v>0</v>
      </c>
      <c r="M31" s="98">
        <f t="shared" si="8"/>
        <v>0</v>
      </c>
      <c r="N31" s="98">
        <f t="shared" si="8"/>
        <v>0</v>
      </c>
      <c r="O31" s="98">
        <f t="shared" ref="O31:W42" si="9">IF(O$19&gt;($D$10+$D$11-1),0,"")</f>
        <v>0</v>
      </c>
      <c r="P31" s="98">
        <f t="shared" si="9"/>
        <v>0</v>
      </c>
      <c r="Q31" s="98">
        <f t="shared" si="9"/>
        <v>0</v>
      </c>
      <c r="R31" s="98">
        <f t="shared" si="9"/>
        <v>0</v>
      </c>
      <c r="S31" s="98">
        <f t="shared" si="9"/>
        <v>0</v>
      </c>
      <c r="T31" s="98">
        <f t="shared" si="9"/>
        <v>0</v>
      </c>
      <c r="U31" s="98">
        <f t="shared" si="9"/>
        <v>0</v>
      </c>
      <c r="V31" s="98">
        <f t="shared" si="9"/>
        <v>0</v>
      </c>
      <c r="W31" s="98">
        <f t="shared" si="9"/>
        <v>0</v>
      </c>
      <c r="X31" s="98">
        <v>15</v>
      </c>
      <c r="Y31" s="238">
        <f t="shared" si="5"/>
        <v>0</v>
      </c>
    </row>
    <row r="32" spans="2:25" s="23" customFormat="1" ht="15" x14ac:dyDescent="0.25">
      <c r="B32" s="240" t="s">
        <v>68</v>
      </c>
      <c r="C32" s="94" t="str">
        <f t="shared" si="3"/>
        <v>EUR</v>
      </c>
      <c r="D32" s="98">
        <v>36897</v>
      </c>
      <c r="E32" s="98">
        <f t="shared" si="8"/>
        <v>0</v>
      </c>
      <c r="F32" s="98">
        <f t="shared" si="8"/>
        <v>0</v>
      </c>
      <c r="G32" s="98">
        <f t="shared" si="8"/>
        <v>0</v>
      </c>
      <c r="H32" s="98">
        <f t="shared" si="8"/>
        <v>0</v>
      </c>
      <c r="I32" s="98">
        <f t="shared" si="8"/>
        <v>0</v>
      </c>
      <c r="J32" s="98">
        <f t="shared" si="8"/>
        <v>0</v>
      </c>
      <c r="K32" s="98">
        <f t="shared" si="8"/>
        <v>0</v>
      </c>
      <c r="L32" s="98">
        <f t="shared" si="8"/>
        <v>0</v>
      </c>
      <c r="M32" s="98">
        <f t="shared" si="8"/>
        <v>0</v>
      </c>
      <c r="N32" s="98">
        <f t="shared" si="8"/>
        <v>0</v>
      </c>
      <c r="O32" s="98">
        <f t="shared" si="9"/>
        <v>0</v>
      </c>
      <c r="P32" s="98">
        <f t="shared" si="9"/>
        <v>0</v>
      </c>
      <c r="Q32" s="98">
        <f t="shared" si="9"/>
        <v>0</v>
      </c>
      <c r="R32" s="98">
        <f t="shared" si="9"/>
        <v>0</v>
      </c>
      <c r="S32" s="98">
        <f t="shared" si="9"/>
        <v>0</v>
      </c>
      <c r="T32" s="98">
        <f t="shared" si="9"/>
        <v>0</v>
      </c>
      <c r="U32" s="98">
        <f t="shared" si="9"/>
        <v>0</v>
      </c>
      <c r="V32" s="98">
        <f t="shared" si="9"/>
        <v>0</v>
      </c>
      <c r="W32" s="98">
        <f t="shared" si="9"/>
        <v>0</v>
      </c>
      <c r="X32" s="98">
        <v>20</v>
      </c>
      <c r="Y32" s="238">
        <f t="shared" si="5"/>
        <v>1844.8500000000001</v>
      </c>
    </row>
    <row r="33" spans="2:26" s="23" customFormat="1" ht="15" x14ac:dyDescent="0.25">
      <c r="B33" s="240" t="s">
        <v>69</v>
      </c>
      <c r="C33" s="94" t="str">
        <f t="shared" si="3"/>
        <v>EUR</v>
      </c>
      <c r="D33" s="98" t="str">
        <f>IF(D$19&gt;($D$10+$D$11-1),0,"")</f>
        <v/>
      </c>
      <c r="E33" s="98">
        <f t="shared" si="8"/>
        <v>0</v>
      </c>
      <c r="F33" s="98">
        <f t="shared" si="8"/>
        <v>0</v>
      </c>
      <c r="G33" s="98">
        <f t="shared" si="8"/>
        <v>0</v>
      </c>
      <c r="H33" s="98">
        <f t="shared" si="8"/>
        <v>0</v>
      </c>
      <c r="I33" s="98">
        <f t="shared" si="8"/>
        <v>0</v>
      </c>
      <c r="J33" s="98">
        <f t="shared" si="8"/>
        <v>0</v>
      </c>
      <c r="K33" s="98">
        <f t="shared" si="8"/>
        <v>0</v>
      </c>
      <c r="L33" s="98">
        <f t="shared" si="8"/>
        <v>0</v>
      </c>
      <c r="M33" s="98">
        <f t="shared" si="8"/>
        <v>0</v>
      </c>
      <c r="N33" s="98">
        <f t="shared" si="8"/>
        <v>0</v>
      </c>
      <c r="O33" s="98">
        <f t="shared" si="9"/>
        <v>0</v>
      </c>
      <c r="P33" s="98">
        <f t="shared" si="9"/>
        <v>0</v>
      </c>
      <c r="Q33" s="98">
        <f t="shared" si="9"/>
        <v>0</v>
      </c>
      <c r="R33" s="98">
        <f t="shared" si="9"/>
        <v>0</v>
      </c>
      <c r="S33" s="98">
        <f t="shared" si="9"/>
        <v>0</v>
      </c>
      <c r="T33" s="98">
        <f t="shared" si="9"/>
        <v>0</v>
      </c>
      <c r="U33" s="98">
        <f t="shared" si="9"/>
        <v>0</v>
      </c>
      <c r="V33" s="98">
        <f t="shared" si="9"/>
        <v>0</v>
      </c>
      <c r="W33" s="98">
        <f t="shared" si="9"/>
        <v>0</v>
      </c>
      <c r="X33" s="98">
        <v>10</v>
      </c>
      <c r="Y33" s="238">
        <f t="shared" si="5"/>
        <v>0</v>
      </c>
    </row>
    <row r="34" spans="2:26" s="23" customFormat="1" ht="15" x14ac:dyDescent="0.25">
      <c r="B34" s="240" t="s">
        <v>70</v>
      </c>
      <c r="C34" s="94" t="str">
        <f t="shared" si="3"/>
        <v>EUR</v>
      </c>
      <c r="D34" s="98" t="str">
        <f>IF(D$19&gt;($D$10+$D$11-1),0,"")</f>
        <v/>
      </c>
      <c r="E34" s="98">
        <f t="shared" si="8"/>
        <v>0</v>
      </c>
      <c r="F34" s="98">
        <f t="shared" si="8"/>
        <v>0</v>
      </c>
      <c r="G34" s="98">
        <f t="shared" si="8"/>
        <v>0</v>
      </c>
      <c r="H34" s="98">
        <f t="shared" si="8"/>
        <v>0</v>
      </c>
      <c r="I34" s="98">
        <f t="shared" si="8"/>
        <v>0</v>
      </c>
      <c r="J34" s="98">
        <f t="shared" si="8"/>
        <v>0</v>
      </c>
      <c r="K34" s="98">
        <f t="shared" si="8"/>
        <v>0</v>
      </c>
      <c r="L34" s="98">
        <f t="shared" si="8"/>
        <v>0</v>
      </c>
      <c r="M34" s="98">
        <f t="shared" si="8"/>
        <v>0</v>
      </c>
      <c r="N34" s="98">
        <f t="shared" si="8"/>
        <v>0</v>
      </c>
      <c r="O34" s="98">
        <f t="shared" si="9"/>
        <v>0</v>
      </c>
      <c r="P34" s="98">
        <f t="shared" si="9"/>
        <v>0</v>
      </c>
      <c r="Q34" s="98">
        <f t="shared" si="9"/>
        <v>0</v>
      </c>
      <c r="R34" s="98">
        <f t="shared" si="9"/>
        <v>0</v>
      </c>
      <c r="S34" s="98">
        <f t="shared" si="9"/>
        <v>0</v>
      </c>
      <c r="T34" s="98">
        <f t="shared" si="9"/>
        <v>0</v>
      </c>
      <c r="U34" s="98">
        <f t="shared" si="9"/>
        <v>0</v>
      </c>
      <c r="V34" s="98">
        <f t="shared" si="9"/>
        <v>0</v>
      </c>
      <c r="W34" s="98">
        <f t="shared" si="9"/>
        <v>0</v>
      </c>
      <c r="X34" s="98">
        <v>40</v>
      </c>
      <c r="Y34" s="238">
        <f t="shared" si="5"/>
        <v>0</v>
      </c>
    </row>
    <row r="35" spans="2:26" s="23" customFormat="1" ht="15" x14ac:dyDescent="0.25">
      <c r="B35" s="240" t="s">
        <v>71</v>
      </c>
      <c r="C35" s="94" t="str">
        <f t="shared" si="3"/>
        <v>EUR</v>
      </c>
      <c r="D35" s="98" t="str">
        <f>IF(D$19&gt;($D$10+$D$11-1),0,"")</f>
        <v/>
      </c>
      <c r="E35" s="98">
        <f t="shared" si="8"/>
        <v>0</v>
      </c>
      <c r="F35" s="98">
        <f t="shared" si="8"/>
        <v>0</v>
      </c>
      <c r="G35" s="98">
        <f t="shared" si="8"/>
        <v>0</v>
      </c>
      <c r="H35" s="98">
        <f t="shared" si="8"/>
        <v>0</v>
      </c>
      <c r="I35" s="98">
        <f t="shared" si="8"/>
        <v>0</v>
      </c>
      <c r="J35" s="98">
        <f t="shared" si="8"/>
        <v>0</v>
      </c>
      <c r="K35" s="98">
        <f t="shared" si="8"/>
        <v>0</v>
      </c>
      <c r="L35" s="98">
        <f t="shared" si="8"/>
        <v>0</v>
      </c>
      <c r="M35" s="98">
        <f t="shared" si="8"/>
        <v>0</v>
      </c>
      <c r="N35" s="98">
        <f t="shared" si="8"/>
        <v>0</v>
      </c>
      <c r="O35" s="98">
        <f t="shared" si="9"/>
        <v>0</v>
      </c>
      <c r="P35" s="98">
        <f t="shared" si="9"/>
        <v>0</v>
      </c>
      <c r="Q35" s="98">
        <f t="shared" si="9"/>
        <v>0</v>
      </c>
      <c r="R35" s="98">
        <f t="shared" si="9"/>
        <v>0</v>
      </c>
      <c r="S35" s="98">
        <f t="shared" si="9"/>
        <v>0</v>
      </c>
      <c r="T35" s="98">
        <f t="shared" si="9"/>
        <v>0</v>
      </c>
      <c r="U35" s="98">
        <f t="shared" si="9"/>
        <v>0</v>
      </c>
      <c r="V35" s="98">
        <f t="shared" si="9"/>
        <v>0</v>
      </c>
      <c r="W35" s="98">
        <f t="shared" si="9"/>
        <v>0</v>
      </c>
      <c r="X35" s="98">
        <v>10</v>
      </c>
      <c r="Y35" s="238">
        <f t="shared" si="5"/>
        <v>0</v>
      </c>
    </row>
    <row r="36" spans="2:26" s="23" customFormat="1" ht="15" x14ac:dyDescent="0.25">
      <c r="B36" s="240" t="s">
        <v>72</v>
      </c>
      <c r="C36" s="94" t="str">
        <f t="shared" si="3"/>
        <v>EUR</v>
      </c>
      <c r="D36" s="98">
        <v>13272</v>
      </c>
      <c r="E36" s="98">
        <f t="shared" si="8"/>
        <v>0</v>
      </c>
      <c r="F36" s="98">
        <f t="shared" si="8"/>
        <v>0</v>
      </c>
      <c r="G36" s="98">
        <f t="shared" si="8"/>
        <v>0</v>
      </c>
      <c r="H36" s="98">
        <f t="shared" si="8"/>
        <v>0</v>
      </c>
      <c r="I36" s="98">
        <f t="shared" si="8"/>
        <v>0</v>
      </c>
      <c r="J36" s="98">
        <f t="shared" si="8"/>
        <v>0</v>
      </c>
      <c r="K36" s="98">
        <f t="shared" si="8"/>
        <v>0</v>
      </c>
      <c r="L36" s="98">
        <f t="shared" si="8"/>
        <v>0</v>
      </c>
      <c r="M36" s="98">
        <f t="shared" si="8"/>
        <v>0</v>
      </c>
      <c r="N36" s="98">
        <f t="shared" si="8"/>
        <v>0</v>
      </c>
      <c r="O36" s="98">
        <f t="shared" si="9"/>
        <v>0</v>
      </c>
      <c r="P36" s="98">
        <f t="shared" si="9"/>
        <v>0</v>
      </c>
      <c r="Q36" s="98">
        <f t="shared" si="9"/>
        <v>0</v>
      </c>
      <c r="R36" s="98">
        <f t="shared" si="9"/>
        <v>0</v>
      </c>
      <c r="S36" s="98">
        <f t="shared" si="9"/>
        <v>0</v>
      </c>
      <c r="T36" s="98">
        <f t="shared" si="9"/>
        <v>0</v>
      </c>
      <c r="U36" s="98">
        <f t="shared" si="9"/>
        <v>0</v>
      </c>
      <c r="V36" s="98">
        <f t="shared" si="9"/>
        <v>0</v>
      </c>
      <c r="W36" s="98">
        <f t="shared" si="9"/>
        <v>0</v>
      </c>
      <c r="X36" s="98">
        <v>10</v>
      </c>
      <c r="Y36" s="238">
        <f t="shared" si="5"/>
        <v>0</v>
      </c>
    </row>
    <row r="37" spans="2:26" s="23" customFormat="1" ht="15" x14ac:dyDescent="0.25">
      <c r="B37" s="240" t="s">
        <v>73</v>
      </c>
      <c r="C37" s="94" t="str">
        <f t="shared" si="3"/>
        <v>EUR</v>
      </c>
      <c r="D37" s="98">
        <v>192448</v>
      </c>
      <c r="E37" s="98">
        <f t="shared" si="8"/>
        <v>0</v>
      </c>
      <c r="F37" s="98">
        <f t="shared" si="8"/>
        <v>0</v>
      </c>
      <c r="G37" s="98">
        <f t="shared" si="8"/>
        <v>0</v>
      </c>
      <c r="H37" s="98">
        <f t="shared" si="8"/>
        <v>0</v>
      </c>
      <c r="I37" s="98">
        <f t="shared" si="8"/>
        <v>0</v>
      </c>
      <c r="J37" s="98">
        <f t="shared" si="8"/>
        <v>0</v>
      </c>
      <c r="K37" s="98">
        <f t="shared" si="8"/>
        <v>0</v>
      </c>
      <c r="L37" s="98">
        <f t="shared" si="8"/>
        <v>0</v>
      </c>
      <c r="M37" s="98">
        <f t="shared" si="8"/>
        <v>0</v>
      </c>
      <c r="N37" s="98">
        <f t="shared" si="8"/>
        <v>0</v>
      </c>
      <c r="O37" s="98">
        <f t="shared" si="9"/>
        <v>0</v>
      </c>
      <c r="P37" s="98">
        <f t="shared" si="9"/>
        <v>0</v>
      </c>
      <c r="Q37" s="98">
        <f t="shared" si="9"/>
        <v>0</v>
      </c>
      <c r="R37" s="98">
        <f t="shared" si="9"/>
        <v>0</v>
      </c>
      <c r="S37" s="98">
        <f t="shared" si="9"/>
        <v>0</v>
      </c>
      <c r="T37" s="98">
        <f t="shared" si="9"/>
        <v>0</v>
      </c>
      <c r="U37" s="98">
        <f t="shared" si="9"/>
        <v>0</v>
      </c>
      <c r="V37" s="98">
        <f t="shared" si="9"/>
        <v>0</v>
      </c>
      <c r="W37" s="98">
        <f t="shared" si="9"/>
        <v>0</v>
      </c>
      <c r="X37" s="98">
        <v>10</v>
      </c>
      <c r="Y37" s="238">
        <f t="shared" si="5"/>
        <v>0</v>
      </c>
    </row>
    <row r="38" spans="2:26" s="23" customFormat="1" ht="15" x14ac:dyDescent="0.25">
      <c r="B38" s="166" t="s">
        <v>74</v>
      </c>
      <c r="C38" s="94" t="str">
        <f t="shared" si="3"/>
        <v>EUR</v>
      </c>
      <c r="D38" s="98">
        <v>0</v>
      </c>
      <c r="E38" s="98">
        <f t="shared" si="8"/>
        <v>0</v>
      </c>
      <c r="F38" s="98">
        <f t="shared" si="8"/>
        <v>0</v>
      </c>
      <c r="G38" s="98">
        <f t="shared" si="8"/>
        <v>0</v>
      </c>
      <c r="H38" s="98">
        <f t="shared" si="8"/>
        <v>0</v>
      </c>
      <c r="I38" s="98">
        <f t="shared" si="8"/>
        <v>0</v>
      </c>
      <c r="J38" s="98">
        <f t="shared" si="8"/>
        <v>0</v>
      </c>
      <c r="K38" s="98">
        <f t="shared" si="8"/>
        <v>0</v>
      </c>
      <c r="L38" s="98">
        <f t="shared" si="8"/>
        <v>0</v>
      </c>
      <c r="M38" s="98">
        <f t="shared" si="8"/>
        <v>0</v>
      </c>
      <c r="N38" s="98">
        <f t="shared" si="8"/>
        <v>0</v>
      </c>
      <c r="O38" s="98">
        <f t="shared" si="9"/>
        <v>0</v>
      </c>
      <c r="P38" s="98">
        <f t="shared" si="9"/>
        <v>0</v>
      </c>
      <c r="Q38" s="98">
        <f t="shared" si="9"/>
        <v>0</v>
      </c>
      <c r="R38" s="98">
        <f t="shared" si="9"/>
        <v>0</v>
      </c>
      <c r="S38" s="98">
        <f t="shared" si="9"/>
        <v>0</v>
      </c>
      <c r="T38" s="98">
        <f t="shared" si="9"/>
        <v>0</v>
      </c>
      <c r="U38" s="98">
        <f t="shared" si="9"/>
        <v>0</v>
      </c>
      <c r="V38" s="98">
        <f t="shared" si="9"/>
        <v>0</v>
      </c>
      <c r="W38" s="98">
        <f t="shared" si="9"/>
        <v>0</v>
      </c>
      <c r="X38" s="98">
        <v>0</v>
      </c>
      <c r="Y38" s="238">
        <f t="shared" si="5"/>
        <v>0</v>
      </c>
    </row>
    <row r="39" spans="2:26" s="23" customFormat="1" ht="15" x14ac:dyDescent="0.25">
      <c r="B39" s="166" t="s">
        <v>75</v>
      </c>
      <c r="C39" s="94" t="str">
        <f t="shared" si="3"/>
        <v>EUR</v>
      </c>
      <c r="D39" s="98" t="str">
        <f>IF(D$19&gt;($D$10+$D$11-1),0,"")</f>
        <v/>
      </c>
      <c r="E39" s="98">
        <f t="shared" si="8"/>
        <v>0</v>
      </c>
      <c r="F39" s="98">
        <f t="shared" si="8"/>
        <v>0</v>
      </c>
      <c r="G39" s="98">
        <f t="shared" si="8"/>
        <v>0</v>
      </c>
      <c r="H39" s="98">
        <f t="shared" si="8"/>
        <v>0</v>
      </c>
      <c r="I39" s="98">
        <f t="shared" si="8"/>
        <v>0</v>
      </c>
      <c r="J39" s="98">
        <f t="shared" si="8"/>
        <v>0</v>
      </c>
      <c r="K39" s="98">
        <f t="shared" si="8"/>
        <v>0</v>
      </c>
      <c r="L39" s="98">
        <f t="shared" si="8"/>
        <v>0</v>
      </c>
      <c r="M39" s="98">
        <f t="shared" si="8"/>
        <v>0</v>
      </c>
      <c r="N39" s="98">
        <f t="shared" si="8"/>
        <v>0</v>
      </c>
      <c r="O39" s="98">
        <f t="shared" si="9"/>
        <v>0</v>
      </c>
      <c r="P39" s="98">
        <f t="shared" si="9"/>
        <v>0</v>
      </c>
      <c r="Q39" s="98">
        <f t="shared" si="9"/>
        <v>0</v>
      </c>
      <c r="R39" s="98">
        <f t="shared" si="9"/>
        <v>0</v>
      </c>
      <c r="S39" s="98">
        <f t="shared" si="9"/>
        <v>0</v>
      </c>
      <c r="T39" s="98">
        <f t="shared" si="9"/>
        <v>0</v>
      </c>
      <c r="U39" s="98">
        <f t="shared" si="9"/>
        <v>0</v>
      </c>
      <c r="V39" s="98">
        <f t="shared" si="9"/>
        <v>0</v>
      </c>
      <c r="W39" s="98">
        <f t="shared" si="9"/>
        <v>0</v>
      </c>
      <c r="X39" s="98">
        <v>0</v>
      </c>
      <c r="Y39" s="238">
        <f t="shared" si="5"/>
        <v>0</v>
      </c>
    </row>
    <row r="40" spans="2:26" s="23" customFormat="1" ht="15" x14ac:dyDescent="0.25">
      <c r="B40" s="166" t="s">
        <v>76</v>
      </c>
      <c r="C40" s="94" t="str">
        <f t="shared" si="3"/>
        <v>EUR</v>
      </c>
      <c r="D40" s="98" t="str">
        <f>IF(D$19&gt;($D$10+$D$11-1),0,"")</f>
        <v/>
      </c>
      <c r="E40" s="98">
        <f t="shared" si="8"/>
        <v>0</v>
      </c>
      <c r="F40" s="98">
        <f t="shared" si="8"/>
        <v>0</v>
      </c>
      <c r="G40" s="98">
        <f t="shared" si="8"/>
        <v>0</v>
      </c>
      <c r="H40" s="98">
        <f t="shared" si="8"/>
        <v>0</v>
      </c>
      <c r="I40" s="98">
        <f t="shared" si="8"/>
        <v>0</v>
      </c>
      <c r="J40" s="98">
        <f t="shared" si="8"/>
        <v>0</v>
      </c>
      <c r="K40" s="98">
        <f t="shared" si="8"/>
        <v>0</v>
      </c>
      <c r="L40" s="98">
        <f t="shared" si="8"/>
        <v>0</v>
      </c>
      <c r="M40" s="98">
        <f t="shared" si="8"/>
        <v>0</v>
      </c>
      <c r="N40" s="98">
        <f t="shared" si="8"/>
        <v>0</v>
      </c>
      <c r="O40" s="98">
        <f t="shared" si="9"/>
        <v>0</v>
      </c>
      <c r="P40" s="98">
        <f t="shared" si="9"/>
        <v>0</v>
      </c>
      <c r="Q40" s="98">
        <f t="shared" si="9"/>
        <v>0</v>
      </c>
      <c r="R40" s="98">
        <f t="shared" si="9"/>
        <v>0</v>
      </c>
      <c r="S40" s="98">
        <f t="shared" si="9"/>
        <v>0</v>
      </c>
      <c r="T40" s="98">
        <f t="shared" si="9"/>
        <v>0</v>
      </c>
      <c r="U40" s="98">
        <f t="shared" si="9"/>
        <v>0</v>
      </c>
      <c r="V40" s="98">
        <f t="shared" si="9"/>
        <v>0</v>
      </c>
      <c r="W40" s="98">
        <f t="shared" si="9"/>
        <v>0</v>
      </c>
      <c r="X40" s="98">
        <v>0</v>
      </c>
      <c r="Y40" s="238">
        <f t="shared" si="5"/>
        <v>0</v>
      </c>
    </row>
    <row r="41" spans="2:26" s="23" customFormat="1" ht="15" x14ac:dyDescent="0.25">
      <c r="B41" s="166" t="s">
        <v>77</v>
      </c>
      <c r="C41" s="94" t="str">
        <f t="shared" si="3"/>
        <v>EUR</v>
      </c>
      <c r="D41" s="98" t="str">
        <f>IF(D$19&gt;($D$10+$D$11-1),0,"")</f>
        <v/>
      </c>
      <c r="E41" s="98">
        <f t="shared" si="8"/>
        <v>0</v>
      </c>
      <c r="F41" s="98">
        <f t="shared" si="8"/>
        <v>0</v>
      </c>
      <c r="G41" s="98">
        <f t="shared" si="8"/>
        <v>0</v>
      </c>
      <c r="H41" s="98">
        <f t="shared" si="8"/>
        <v>0</v>
      </c>
      <c r="I41" s="98">
        <f t="shared" si="8"/>
        <v>0</v>
      </c>
      <c r="J41" s="98">
        <f t="shared" si="8"/>
        <v>0</v>
      </c>
      <c r="K41" s="98">
        <f t="shared" si="8"/>
        <v>0</v>
      </c>
      <c r="L41" s="98">
        <f t="shared" si="8"/>
        <v>0</v>
      </c>
      <c r="M41" s="98">
        <f t="shared" si="8"/>
        <v>0</v>
      </c>
      <c r="N41" s="98">
        <f t="shared" si="8"/>
        <v>0</v>
      </c>
      <c r="O41" s="98">
        <f t="shared" si="9"/>
        <v>0</v>
      </c>
      <c r="P41" s="98">
        <f t="shared" si="9"/>
        <v>0</v>
      </c>
      <c r="Q41" s="98">
        <f t="shared" si="9"/>
        <v>0</v>
      </c>
      <c r="R41" s="98">
        <f t="shared" si="9"/>
        <v>0</v>
      </c>
      <c r="S41" s="98">
        <f t="shared" si="9"/>
        <v>0</v>
      </c>
      <c r="T41" s="98">
        <f t="shared" si="9"/>
        <v>0</v>
      </c>
      <c r="U41" s="98">
        <f t="shared" si="9"/>
        <v>0</v>
      </c>
      <c r="V41" s="98">
        <f t="shared" si="9"/>
        <v>0</v>
      </c>
      <c r="W41" s="98">
        <f t="shared" si="9"/>
        <v>0</v>
      </c>
      <c r="X41" s="98">
        <v>0</v>
      </c>
      <c r="Y41" s="238">
        <f t="shared" si="5"/>
        <v>0</v>
      </c>
    </row>
    <row r="42" spans="2:26" s="23" customFormat="1" ht="15" x14ac:dyDescent="0.25">
      <c r="B42" s="166" t="s">
        <v>78</v>
      </c>
      <c r="C42" s="94" t="str">
        <f t="shared" si="3"/>
        <v>EUR</v>
      </c>
      <c r="D42" s="98" t="str">
        <f>IF(D$19&gt;($D$10+$D$11-1),0,"")</f>
        <v/>
      </c>
      <c r="E42" s="98">
        <f t="shared" si="8"/>
        <v>0</v>
      </c>
      <c r="F42" s="98">
        <f t="shared" si="8"/>
        <v>0</v>
      </c>
      <c r="G42" s="98">
        <f t="shared" si="8"/>
        <v>0</v>
      </c>
      <c r="H42" s="98">
        <f t="shared" si="8"/>
        <v>0</v>
      </c>
      <c r="I42" s="98">
        <f t="shared" si="8"/>
        <v>0</v>
      </c>
      <c r="J42" s="98">
        <f t="shared" si="8"/>
        <v>0</v>
      </c>
      <c r="K42" s="98">
        <f t="shared" si="8"/>
        <v>0</v>
      </c>
      <c r="L42" s="98">
        <f t="shared" si="8"/>
        <v>0</v>
      </c>
      <c r="M42" s="98">
        <f t="shared" si="8"/>
        <v>0</v>
      </c>
      <c r="N42" s="98">
        <f t="shared" si="8"/>
        <v>0</v>
      </c>
      <c r="O42" s="98">
        <f t="shared" si="9"/>
        <v>0</v>
      </c>
      <c r="P42" s="98">
        <f t="shared" si="9"/>
        <v>0</v>
      </c>
      <c r="Q42" s="98">
        <f t="shared" si="9"/>
        <v>0</v>
      </c>
      <c r="R42" s="98">
        <f t="shared" si="9"/>
        <v>0</v>
      </c>
      <c r="S42" s="98">
        <f t="shared" si="9"/>
        <v>0</v>
      </c>
      <c r="T42" s="98">
        <f t="shared" si="9"/>
        <v>0</v>
      </c>
      <c r="U42" s="98">
        <f t="shared" si="9"/>
        <v>0</v>
      </c>
      <c r="V42" s="98">
        <f t="shared" si="9"/>
        <v>0</v>
      </c>
      <c r="W42" s="98">
        <f t="shared" si="9"/>
        <v>0</v>
      </c>
      <c r="X42" s="98">
        <v>0</v>
      </c>
      <c r="Y42" s="238">
        <f t="shared" si="5"/>
        <v>0</v>
      </c>
    </row>
    <row r="43" spans="2:26" s="23" customFormat="1" ht="15" x14ac:dyDescent="0.25">
      <c r="B43" s="232" t="s">
        <v>79</v>
      </c>
      <c r="C43" s="101" t="str">
        <f t="shared" si="3"/>
        <v>EUR</v>
      </c>
      <c r="D43" s="98">
        <f t="shared" ref="D43:W43" si="10">SUM(D21:D42)</f>
        <v>1375274</v>
      </c>
      <c r="E43" s="98">
        <f t="shared" si="10"/>
        <v>0</v>
      </c>
      <c r="F43" s="98">
        <f t="shared" si="10"/>
        <v>0</v>
      </c>
      <c r="G43" s="102">
        <f t="shared" si="10"/>
        <v>0</v>
      </c>
      <c r="H43" s="102">
        <f t="shared" si="10"/>
        <v>0</v>
      </c>
      <c r="I43" s="102">
        <f t="shared" si="10"/>
        <v>0</v>
      </c>
      <c r="J43" s="102">
        <f t="shared" si="10"/>
        <v>0</v>
      </c>
      <c r="K43" s="102">
        <f t="shared" si="10"/>
        <v>0</v>
      </c>
      <c r="L43" s="102">
        <f t="shared" si="10"/>
        <v>0</v>
      </c>
      <c r="M43" s="102">
        <f t="shared" si="10"/>
        <v>0</v>
      </c>
      <c r="N43" s="102">
        <f t="shared" si="10"/>
        <v>0</v>
      </c>
      <c r="O43" s="102">
        <f t="shared" si="10"/>
        <v>0</v>
      </c>
      <c r="P43" s="102">
        <f t="shared" si="10"/>
        <v>0</v>
      </c>
      <c r="Q43" s="102">
        <f t="shared" si="10"/>
        <v>0</v>
      </c>
      <c r="R43" s="102">
        <f t="shared" si="10"/>
        <v>0</v>
      </c>
      <c r="S43" s="102">
        <f t="shared" si="10"/>
        <v>0</v>
      </c>
      <c r="T43" s="102">
        <f t="shared" si="10"/>
        <v>0</v>
      </c>
      <c r="U43" s="102">
        <f t="shared" si="10"/>
        <v>0</v>
      </c>
      <c r="V43" s="102">
        <f t="shared" si="10"/>
        <v>0</v>
      </c>
      <c r="W43" s="102">
        <f t="shared" si="10"/>
        <v>0</v>
      </c>
      <c r="X43" s="102">
        <v>0</v>
      </c>
      <c r="Y43" s="238">
        <f>SUM(Y21:Y42)</f>
        <v>250912.32500000001</v>
      </c>
    </row>
    <row r="44" spans="2:26" s="23" customFormat="1" ht="15" x14ac:dyDescent="0.25">
      <c r="B44" s="166" t="s">
        <v>80</v>
      </c>
      <c r="C44" s="94" t="str">
        <f t="shared" si="3"/>
        <v>EUR</v>
      </c>
      <c r="D44" s="98">
        <f>D43*0.25</f>
        <v>343818.5</v>
      </c>
      <c r="E44" s="98">
        <f t="shared" ref="E44:W44" si="11">IF(E$19&gt;($D$10+$D$11-1),0,"")</f>
        <v>0</v>
      </c>
      <c r="F44" s="98">
        <f t="shared" si="11"/>
        <v>0</v>
      </c>
      <c r="G44" s="98">
        <f t="shared" si="11"/>
        <v>0</v>
      </c>
      <c r="H44" s="98">
        <f t="shared" si="11"/>
        <v>0</v>
      </c>
      <c r="I44" s="98">
        <f t="shared" si="11"/>
        <v>0</v>
      </c>
      <c r="J44" s="98">
        <f t="shared" si="11"/>
        <v>0</v>
      </c>
      <c r="K44" s="98">
        <f t="shared" si="11"/>
        <v>0</v>
      </c>
      <c r="L44" s="98">
        <f t="shared" si="11"/>
        <v>0</v>
      </c>
      <c r="M44" s="98">
        <f t="shared" si="11"/>
        <v>0</v>
      </c>
      <c r="N44" s="98">
        <f t="shared" si="11"/>
        <v>0</v>
      </c>
      <c r="O44" s="98">
        <f t="shared" si="11"/>
        <v>0</v>
      </c>
      <c r="P44" s="98">
        <f t="shared" si="11"/>
        <v>0</v>
      </c>
      <c r="Q44" s="98">
        <f t="shared" si="11"/>
        <v>0</v>
      </c>
      <c r="R44" s="98">
        <f t="shared" si="11"/>
        <v>0</v>
      </c>
      <c r="S44" s="98">
        <f t="shared" si="11"/>
        <v>0</v>
      </c>
      <c r="T44" s="98">
        <f t="shared" si="11"/>
        <v>0</v>
      </c>
      <c r="U44" s="98">
        <f t="shared" si="11"/>
        <v>0</v>
      </c>
      <c r="V44" s="98">
        <f t="shared" si="11"/>
        <v>0</v>
      </c>
      <c r="W44" s="98">
        <f t="shared" si="11"/>
        <v>0</v>
      </c>
      <c r="X44" s="98">
        <v>0</v>
      </c>
      <c r="Y44" s="238">
        <f>IFERROR((SUM(D44:X44)/SUM(D43:W43))*Y43, 0)</f>
        <v>62728.081250000003</v>
      </c>
      <c r="Z44" s="32"/>
    </row>
    <row r="45" spans="2:26" s="23" customFormat="1" ht="15.75" thickBot="1" x14ac:dyDescent="0.3">
      <c r="B45" s="241" t="s">
        <v>81</v>
      </c>
      <c r="C45" s="204" t="str">
        <f t="shared" si="3"/>
        <v>EUR</v>
      </c>
      <c r="D45" s="235">
        <f>SUM(D43:D44)</f>
        <v>1719092.5</v>
      </c>
      <c r="E45" s="235">
        <f t="shared" ref="E45:W45" si="12">SUM(E43:E44)</f>
        <v>0</v>
      </c>
      <c r="F45" s="235">
        <f t="shared" si="12"/>
        <v>0</v>
      </c>
      <c r="G45" s="235">
        <f t="shared" si="12"/>
        <v>0</v>
      </c>
      <c r="H45" s="235">
        <f t="shared" si="12"/>
        <v>0</v>
      </c>
      <c r="I45" s="235">
        <f t="shared" si="12"/>
        <v>0</v>
      </c>
      <c r="J45" s="235">
        <f t="shared" si="12"/>
        <v>0</v>
      </c>
      <c r="K45" s="235">
        <f t="shared" si="12"/>
        <v>0</v>
      </c>
      <c r="L45" s="235">
        <f t="shared" si="12"/>
        <v>0</v>
      </c>
      <c r="M45" s="235">
        <f t="shared" si="12"/>
        <v>0</v>
      </c>
      <c r="N45" s="235">
        <f t="shared" si="12"/>
        <v>0</v>
      </c>
      <c r="O45" s="235">
        <f t="shared" si="12"/>
        <v>0</v>
      </c>
      <c r="P45" s="235">
        <f t="shared" si="12"/>
        <v>0</v>
      </c>
      <c r="Q45" s="235">
        <f t="shared" si="12"/>
        <v>0</v>
      </c>
      <c r="R45" s="235">
        <f t="shared" si="12"/>
        <v>0</v>
      </c>
      <c r="S45" s="235">
        <f t="shared" si="12"/>
        <v>0</v>
      </c>
      <c r="T45" s="235">
        <f t="shared" si="12"/>
        <v>0</v>
      </c>
      <c r="U45" s="235">
        <f t="shared" si="12"/>
        <v>0</v>
      </c>
      <c r="V45" s="235">
        <f t="shared" si="12"/>
        <v>0</v>
      </c>
      <c r="W45" s="235">
        <f t="shared" si="12"/>
        <v>0</v>
      </c>
      <c r="X45" s="235">
        <f>SUM(X43:X44)</f>
        <v>0</v>
      </c>
      <c r="Y45" s="236">
        <f>SUM(Y43:Y44)</f>
        <v>313640.40625</v>
      </c>
    </row>
    <row r="46" spans="2:26" s="23" customFormat="1" ht="15.75" thickBot="1" x14ac:dyDescent="0.3">
      <c r="B46" s="26"/>
      <c r="C46" s="28"/>
      <c r="D46" s="33"/>
      <c r="E46" s="34"/>
      <c r="F46" s="34"/>
      <c r="G46" s="34"/>
      <c r="H46" s="34"/>
      <c r="I46" s="34"/>
      <c r="J46" s="34"/>
      <c r="K46" s="34"/>
      <c r="L46" s="34"/>
      <c r="M46" s="34"/>
      <c r="N46" s="34"/>
      <c r="O46" s="34"/>
      <c r="P46" s="34"/>
      <c r="Q46" s="34"/>
      <c r="R46" s="34"/>
      <c r="S46" s="34"/>
      <c r="T46" s="34"/>
      <c r="U46" s="34"/>
      <c r="V46" s="34"/>
      <c r="W46" s="33"/>
      <c r="X46" s="33"/>
    </row>
    <row r="47" spans="2:26" s="23" customFormat="1" ht="30.75" thickBot="1" x14ac:dyDescent="0.3">
      <c r="B47" s="128" t="s">
        <v>82</v>
      </c>
      <c r="C47" s="67"/>
      <c r="D47" s="67">
        <f t="shared" ref="D47:W47" si="13">D19</f>
        <v>2025</v>
      </c>
      <c r="E47" s="67">
        <f t="shared" si="13"/>
        <v>2026</v>
      </c>
      <c r="F47" s="67">
        <f t="shared" si="13"/>
        <v>2027</v>
      </c>
      <c r="G47" s="67">
        <f t="shared" si="13"/>
        <v>2028</v>
      </c>
      <c r="H47" s="67">
        <f t="shared" si="13"/>
        <v>2029</v>
      </c>
      <c r="I47" s="67">
        <f t="shared" si="13"/>
        <v>2030</v>
      </c>
      <c r="J47" s="67">
        <f t="shared" si="13"/>
        <v>2031</v>
      </c>
      <c r="K47" s="67">
        <f t="shared" si="13"/>
        <v>2032</v>
      </c>
      <c r="L47" s="67">
        <f t="shared" si="13"/>
        <v>2033</v>
      </c>
      <c r="M47" s="67">
        <f t="shared" si="13"/>
        <v>2034</v>
      </c>
      <c r="N47" s="67">
        <f t="shared" si="13"/>
        <v>2035</v>
      </c>
      <c r="O47" s="67">
        <f t="shared" si="13"/>
        <v>2036</v>
      </c>
      <c r="P47" s="67">
        <f t="shared" si="13"/>
        <v>2037</v>
      </c>
      <c r="Q47" s="67">
        <f t="shared" si="13"/>
        <v>2038</v>
      </c>
      <c r="R47" s="67">
        <f t="shared" si="13"/>
        <v>2039</v>
      </c>
      <c r="S47" s="67">
        <f t="shared" si="13"/>
        <v>2040</v>
      </c>
      <c r="T47" s="67">
        <f t="shared" si="13"/>
        <v>2041</v>
      </c>
      <c r="U47" s="67">
        <f t="shared" si="13"/>
        <v>2042</v>
      </c>
      <c r="V47" s="67">
        <f t="shared" si="13"/>
        <v>2043</v>
      </c>
      <c r="W47" s="67">
        <f t="shared" si="13"/>
        <v>2044</v>
      </c>
      <c r="X47" s="226" t="s">
        <v>55</v>
      </c>
      <c r="Y47" s="227" t="s">
        <v>56</v>
      </c>
    </row>
    <row r="48" spans="2:26" s="23" customFormat="1" ht="15" x14ac:dyDescent="0.25">
      <c r="B48" s="233"/>
      <c r="C48" s="26"/>
      <c r="D48" s="26"/>
      <c r="E48" s="26"/>
      <c r="F48" s="26"/>
      <c r="G48" s="26"/>
      <c r="H48" s="26"/>
      <c r="I48" s="26"/>
      <c r="J48" s="26"/>
      <c r="K48" s="26"/>
      <c r="L48" s="26"/>
      <c r="M48" s="26"/>
      <c r="N48" s="26"/>
      <c r="O48" s="26"/>
      <c r="P48" s="26"/>
      <c r="Q48" s="26"/>
      <c r="R48" s="26"/>
      <c r="S48" s="26"/>
      <c r="T48" s="26"/>
      <c r="U48" s="26"/>
      <c r="V48" s="26"/>
      <c r="W48" s="26"/>
      <c r="X48" s="26"/>
      <c r="Y48" s="237"/>
    </row>
    <row r="49" spans="2:28" s="23" customFormat="1" ht="15" x14ac:dyDescent="0.25">
      <c r="B49" s="166" t="s">
        <v>57</v>
      </c>
      <c r="C49" s="94" t="str">
        <f>Currency</f>
        <v>EUR</v>
      </c>
      <c r="D49" s="98" t="str">
        <f t="shared" ref="D49:M50" si="14">IF(D$19&gt;($D$10+$D$11-1),0,"")</f>
        <v/>
      </c>
      <c r="E49" s="98">
        <f t="shared" si="14"/>
        <v>0</v>
      </c>
      <c r="F49" s="98">
        <f t="shared" si="14"/>
        <v>0</v>
      </c>
      <c r="G49" s="98">
        <f t="shared" si="14"/>
        <v>0</v>
      </c>
      <c r="H49" s="98">
        <f t="shared" si="14"/>
        <v>0</v>
      </c>
      <c r="I49" s="98">
        <f t="shared" si="14"/>
        <v>0</v>
      </c>
      <c r="J49" s="98">
        <f t="shared" si="14"/>
        <v>0</v>
      </c>
      <c r="K49" s="98">
        <f t="shared" si="14"/>
        <v>0</v>
      </c>
      <c r="L49" s="98">
        <f t="shared" si="14"/>
        <v>0</v>
      </c>
      <c r="M49" s="98">
        <f t="shared" si="14"/>
        <v>0</v>
      </c>
      <c r="N49" s="98">
        <f t="shared" ref="N49:W50" si="15">IF(N$19&gt;($D$10+$D$11-1),0,"")</f>
        <v>0</v>
      </c>
      <c r="O49" s="98">
        <f t="shared" si="15"/>
        <v>0</v>
      </c>
      <c r="P49" s="98">
        <f t="shared" si="15"/>
        <v>0</v>
      </c>
      <c r="Q49" s="98">
        <f t="shared" si="15"/>
        <v>0</v>
      </c>
      <c r="R49" s="98">
        <f t="shared" si="15"/>
        <v>0</v>
      </c>
      <c r="S49" s="98">
        <f t="shared" si="15"/>
        <v>0</v>
      </c>
      <c r="T49" s="98">
        <f t="shared" si="15"/>
        <v>0</v>
      </c>
      <c r="U49" s="98">
        <f t="shared" si="15"/>
        <v>0</v>
      </c>
      <c r="V49" s="98">
        <f t="shared" si="15"/>
        <v>0</v>
      </c>
      <c r="W49" s="98">
        <f t="shared" si="15"/>
        <v>0</v>
      </c>
      <c r="X49" s="98">
        <v>0</v>
      </c>
      <c r="Y49" s="238">
        <f t="shared" ref="Y49:Y69" si="16">IF(X49&gt;$D$13-$D$11,SUM(D49:W49)*((X49-$D$13+$D$11)/X49),0)</f>
        <v>0</v>
      </c>
    </row>
    <row r="50" spans="2:28" s="23" customFormat="1" ht="15" x14ac:dyDescent="0.25">
      <c r="B50" s="166" t="s">
        <v>58</v>
      </c>
      <c r="C50" s="94" t="str">
        <f t="shared" ref="C50:C72" si="17">Currency</f>
        <v>EUR</v>
      </c>
      <c r="D50" s="98" t="str">
        <f t="shared" si="14"/>
        <v/>
      </c>
      <c r="E50" s="98">
        <f t="shared" si="14"/>
        <v>0</v>
      </c>
      <c r="F50" s="98">
        <f t="shared" si="14"/>
        <v>0</v>
      </c>
      <c r="G50" s="98">
        <f t="shared" si="14"/>
        <v>0</v>
      </c>
      <c r="H50" s="98">
        <f t="shared" si="14"/>
        <v>0</v>
      </c>
      <c r="I50" s="98">
        <f t="shared" si="14"/>
        <v>0</v>
      </c>
      <c r="J50" s="98">
        <f t="shared" si="14"/>
        <v>0</v>
      </c>
      <c r="K50" s="98">
        <f t="shared" si="14"/>
        <v>0</v>
      </c>
      <c r="L50" s="98">
        <f t="shared" si="14"/>
        <v>0</v>
      </c>
      <c r="M50" s="98">
        <f t="shared" si="14"/>
        <v>0</v>
      </c>
      <c r="N50" s="98">
        <f t="shared" si="15"/>
        <v>0</v>
      </c>
      <c r="O50" s="98">
        <f t="shared" si="15"/>
        <v>0</v>
      </c>
      <c r="P50" s="98">
        <f t="shared" si="15"/>
        <v>0</v>
      </c>
      <c r="Q50" s="98">
        <f t="shared" si="15"/>
        <v>0</v>
      </c>
      <c r="R50" s="98">
        <f t="shared" si="15"/>
        <v>0</v>
      </c>
      <c r="S50" s="98">
        <f t="shared" si="15"/>
        <v>0</v>
      </c>
      <c r="T50" s="98">
        <f t="shared" si="15"/>
        <v>0</v>
      </c>
      <c r="U50" s="98">
        <f t="shared" si="15"/>
        <v>0</v>
      </c>
      <c r="V50" s="98">
        <f t="shared" si="15"/>
        <v>0</v>
      </c>
      <c r="W50" s="98">
        <f t="shared" si="15"/>
        <v>0</v>
      </c>
      <c r="X50" s="98">
        <v>0</v>
      </c>
      <c r="Y50" s="238">
        <f t="shared" si="16"/>
        <v>0</v>
      </c>
    </row>
    <row r="51" spans="2:28" s="23" customFormat="1" ht="15" x14ac:dyDescent="0.25">
      <c r="B51" s="239" t="s">
        <v>59</v>
      </c>
      <c r="C51" s="234"/>
      <c r="D51" s="99"/>
      <c r="E51" s="99"/>
      <c r="F51" s="99"/>
      <c r="G51" s="99"/>
      <c r="H51" s="99"/>
      <c r="I51" s="99"/>
      <c r="J51" s="99"/>
      <c r="K51" s="99"/>
      <c r="L51" s="99"/>
      <c r="M51" s="99"/>
      <c r="N51" s="99"/>
      <c r="O51" s="99"/>
      <c r="P51" s="99"/>
      <c r="Q51" s="99"/>
      <c r="R51" s="99"/>
      <c r="S51" s="99"/>
      <c r="T51" s="99"/>
      <c r="U51" s="99"/>
      <c r="V51" s="99"/>
      <c r="W51" s="99"/>
      <c r="X51" s="98"/>
      <c r="Y51" s="238">
        <f t="shared" si="16"/>
        <v>0</v>
      </c>
      <c r="AB51" s="35"/>
    </row>
    <row r="52" spans="2:28" s="23" customFormat="1" ht="15" x14ac:dyDescent="0.25">
      <c r="B52" s="240" t="s">
        <v>60</v>
      </c>
      <c r="C52" s="94" t="str">
        <f t="shared" si="17"/>
        <v>EUR</v>
      </c>
      <c r="D52" s="98" t="str">
        <f t="shared" ref="D52:M57" si="18">IF(D$19&gt;($D$10+$D$11-1),0,"")</f>
        <v/>
      </c>
      <c r="E52" s="98">
        <f t="shared" si="18"/>
        <v>0</v>
      </c>
      <c r="F52" s="98">
        <f t="shared" si="18"/>
        <v>0</v>
      </c>
      <c r="G52" s="98">
        <f t="shared" si="18"/>
        <v>0</v>
      </c>
      <c r="H52" s="98">
        <f t="shared" si="18"/>
        <v>0</v>
      </c>
      <c r="I52" s="98">
        <f t="shared" si="18"/>
        <v>0</v>
      </c>
      <c r="J52" s="98">
        <f t="shared" si="18"/>
        <v>0</v>
      </c>
      <c r="K52" s="98">
        <f t="shared" si="18"/>
        <v>0</v>
      </c>
      <c r="L52" s="98">
        <f t="shared" si="18"/>
        <v>0</v>
      </c>
      <c r="M52" s="98">
        <f t="shared" si="18"/>
        <v>0</v>
      </c>
      <c r="N52" s="98">
        <f t="shared" ref="N52:W57" si="19">IF(N$19&gt;($D$10+$D$11-1),0,"")</f>
        <v>0</v>
      </c>
      <c r="O52" s="98">
        <f t="shared" si="19"/>
        <v>0</v>
      </c>
      <c r="P52" s="98">
        <f t="shared" si="19"/>
        <v>0</v>
      </c>
      <c r="Q52" s="98">
        <f t="shared" si="19"/>
        <v>0</v>
      </c>
      <c r="R52" s="98">
        <f t="shared" si="19"/>
        <v>0</v>
      </c>
      <c r="S52" s="98">
        <f t="shared" si="19"/>
        <v>0</v>
      </c>
      <c r="T52" s="98">
        <f t="shared" si="19"/>
        <v>0</v>
      </c>
      <c r="U52" s="98">
        <f t="shared" si="19"/>
        <v>0</v>
      </c>
      <c r="V52" s="98">
        <f t="shared" si="19"/>
        <v>0</v>
      </c>
      <c r="W52" s="98">
        <f t="shared" si="19"/>
        <v>0</v>
      </c>
      <c r="X52" s="98">
        <v>40</v>
      </c>
      <c r="Y52" s="238">
        <f t="shared" si="16"/>
        <v>0</v>
      </c>
    </row>
    <row r="53" spans="2:28" s="23" customFormat="1" ht="15" x14ac:dyDescent="0.25">
      <c r="B53" s="240" t="s">
        <v>61</v>
      </c>
      <c r="C53" s="94" t="str">
        <f t="shared" si="17"/>
        <v>EUR</v>
      </c>
      <c r="D53" s="98" t="str">
        <f t="shared" si="18"/>
        <v/>
      </c>
      <c r="E53" s="98">
        <f t="shared" si="18"/>
        <v>0</v>
      </c>
      <c r="F53" s="98">
        <f t="shared" si="18"/>
        <v>0</v>
      </c>
      <c r="G53" s="98">
        <f t="shared" si="18"/>
        <v>0</v>
      </c>
      <c r="H53" s="98">
        <f t="shared" si="18"/>
        <v>0</v>
      </c>
      <c r="I53" s="98">
        <f t="shared" si="18"/>
        <v>0</v>
      </c>
      <c r="J53" s="98">
        <f t="shared" si="18"/>
        <v>0</v>
      </c>
      <c r="K53" s="98">
        <f t="shared" si="18"/>
        <v>0</v>
      </c>
      <c r="L53" s="98">
        <f t="shared" si="18"/>
        <v>0</v>
      </c>
      <c r="M53" s="98">
        <f t="shared" si="18"/>
        <v>0</v>
      </c>
      <c r="N53" s="98">
        <f t="shared" si="19"/>
        <v>0</v>
      </c>
      <c r="O53" s="98">
        <f t="shared" si="19"/>
        <v>0</v>
      </c>
      <c r="P53" s="98">
        <f t="shared" si="19"/>
        <v>0</v>
      </c>
      <c r="Q53" s="98">
        <f t="shared" si="19"/>
        <v>0</v>
      </c>
      <c r="R53" s="98">
        <f t="shared" si="19"/>
        <v>0</v>
      </c>
      <c r="S53" s="98">
        <f t="shared" si="19"/>
        <v>0</v>
      </c>
      <c r="T53" s="98">
        <f t="shared" si="19"/>
        <v>0</v>
      </c>
      <c r="U53" s="98">
        <f t="shared" si="19"/>
        <v>0</v>
      </c>
      <c r="V53" s="98">
        <f t="shared" si="19"/>
        <v>0</v>
      </c>
      <c r="W53" s="98">
        <f t="shared" si="19"/>
        <v>0</v>
      </c>
      <c r="X53" s="98">
        <v>40</v>
      </c>
      <c r="Y53" s="238">
        <f t="shared" si="16"/>
        <v>0</v>
      </c>
    </row>
    <row r="54" spans="2:28" s="23" customFormat="1" ht="15" x14ac:dyDescent="0.25">
      <c r="B54" s="240" t="s">
        <v>62</v>
      </c>
      <c r="C54" s="94" t="str">
        <f t="shared" si="17"/>
        <v>EUR</v>
      </c>
      <c r="D54" s="98" t="str">
        <f t="shared" si="18"/>
        <v/>
      </c>
      <c r="E54" s="98">
        <f t="shared" si="18"/>
        <v>0</v>
      </c>
      <c r="F54" s="98">
        <f t="shared" si="18"/>
        <v>0</v>
      </c>
      <c r="G54" s="98">
        <f t="shared" si="18"/>
        <v>0</v>
      </c>
      <c r="H54" s="98">
        <f t="shared" si="18"/>
        <v>0</v>
      </c>
      <c r="I54" s="98">
        <f t="shared" si="18"/>
        <v>0</v>
      </c>
      <c r="J54" s="98">
        <f t="shared" si="18"/>
        <v>0</v>
      </c>
      <c r="K54" s="98">
        <f t="shared" si="18"/>
        <v>0</v>
      </c>
      <c r="L54" s="98">
        <f t="shared" si="18"/>
        <v>0</v>
      </c>
      <c r="M54" s="98">
        <f t="shared" si="18"/>
        <v>0</v>
      </c>
      <c r="N54" s="98">
        <f t="shared" si="19"/>
        <v>0</v>
      </c>
      <c r="O54" s="98">
        <f t="shared" si="19"/>
        <v>0</v>
      </c>
      <c r="P54" s="98">
        <f t="shared" si="19"/>
        <v>0</v>
      </c>
      <c r="Q54" s="98">
        <f t="shared" si="19"/>
        <v>0</v>
      </c>
      <c r="R54" s="98">
        <f t="shared" si="19"/>
        <v>0</v>
      </c>
      <c r="S54" s="98">
        <f t="shared" si="19"/>
        <v>0</v>
      </c>
      <c r="T54" s="98">
        <f t="shared" si="19"/>
        <v>0</v>
      </c>
      <c r="U54" s="98">
        <f t="shared" si="19"/>
        <v>0</v>
      </c>
      <c r="V54" s="98">
        <f t="shared" si="19"/>
        <v>0</v>
      </c>
      <c r="W54" s="98">
        <f t="shared" si="19"/>
        <v>0</v>
      </c>
      <c r="X54" s="98">
        <v>20</v>
      </c>
      <c r="Y54" s="238">
        <f t="shared" si="16"/>
        <v>0</v>
      </c>
    </row>
    <row r="55" spans="2:28" s="23" customFormat="1" ht="15" x14ac:dyDescent="0.25">
      <c r="B55" s="240" t="s">
        <v>63</v>
      </c>
      <c r="C55" s="94" t="str">
        <f t="shared" si="17"/>
        <v>EUR</v>
      </c>
      <c r="D55" s="98" t="str">
        <f t="shared" si="18"/>
        <v/>
      </c>
      <c r="E55" s="98">
        <f t="shared" si="18"/>
        <v>0</v>
      </c>
      <c r="F55" s="98">
        <f t="shared" si="18"/>
        <v>0</v>
      </c>
      <c r="G55" s="98">
        <f t="shared" si="18"/>
        <v>0</v>
      </c>
      <c r="H55" s="98">
        <f t="shared" si="18"/>
        <v>0</v>
      </c>
      <c r="I55" s="98">
        <f t="shared" si="18"/>
        <v>0</v>
      </c>
      <c r="J55" s="98">
        <f t="shared" si="18"/>
        <v>0</v>
      </c>
      <c r="K55" s="98">
        <f t="shared" si="18"/>
        <v>0</v>
      </c>
      <c r="L55" s="98">
        <f t="shared" si="18"/>
        <v>0</v>
      </c>
      <c r="M55" s="98">
        <f t="shared" si="18"/>
        <v>0</v>
      </c>
      <c r="N55" s="98">
        <f t="shared" si="19"/>
        <v>0</v>
      </c>
      <c r="O55" s="98">
        <f t="shared" si="19"/>
        <v>0</v>
      </c>
      <c r="P55" s="98">
        <f t="shared" si="19"/>
        <v>0</v>
      </c>
      <c r="Q55" s="98">
        <f t="shared" si="19"/>
        <v>0</v>
      </c>
      <c r="R55" s="98">
        <f t="shared" si="19"/>
        <v>0</v>
      </c>
      <c r="S55" s="98">
        <f t="shared" si="19"/>
        <v>0</v>
      </c>
      <c r="T55" s="98">
        <f t="shared" si="19"/>
        <v>0</v>
      </c>
      <c r="U55" s="98">
        <f t="shared" si="19"/>
        <v>0</v>
      </c>
      <c r="V55" s="98">
        <f t="shared" si="19"/>
        <v>0</v>
      </c>
      <c r="W55" s="98">
        <f t="shared" si="19"/>
        <v>0</v>
      </c>
      <c r="X55" s="98">
        <v>40</v>
      </c>
      <c r="Y55" s="238">
        <f t="shared" si="16"/>
        <v>0</v>
      </c>
    </row>
    <row r="56" spans="2:28" s="23" customFormat="1" ht="15" x14ac:dyDescent="0.25">
      <c r="B56" s="240" t="s">
        <v>64</v>
      </c>
      <c r="C56" s="94" t="str">
        <f t="shared" si="17"/>
        <v>EUR</v>
      </c>
      <c r="D56" s="98" t="str">
        <f t="shared" si="18"/>
        <v/>
      </c>
      <c r="E56" s="98">
        <f t="shared" si="18"/>
        <v>0</v>
      </c>
      <c r="F56" s="98">
        <f t="shared" si="18"/>
        <v>0</v>
      </c>
      <c r="G56" s="98">
        <f t="shared" si="18"/>
        <v>0</v>
      </c>
      <c r="H56" s="98">
        <f t="shared" si="18"/>
        <v>0</v>
      </c>
      <c r="I56" s="98">
        <f t="shared" si="18"/>
        <v>0</v>
      </c>
      <c r="J56" s="98">
        <f t="shared" si="18"/>
        <v>0</v>
      </c>
      <c r="K56" s="98">
        <f t="shared" si="18"/>
        <v>0</v>
      </c>
      <c r="L56" s="98">
        <f t="shared" si="18"/>
        <v>0</v>
      </c>
      <c r="M56" s="98">
        <f t="shared" si="18"/>
        <v>0</v>
      </c>
      <c r="N56" s="98">
        <f t="shared" si="19"/>
        <v>0</v>
      </c>
      <c r="O56" s="98">
        <f t="shared" si="19"/>
        <v>0</v>
      </c>
      <c r="P56" s="98">
        <f t="shared" si="19"/>
        <v>0</v>
      </c>
      <c r="Q56" s="98">
        <f t="shared" si="19"/>
        <v>0</v>
      </c>
      <c r="R56" s="98">
        <f t="shared" si="19"/>
        <v>0</v>
      </c>
      <c r="S56" s="98">
        <f t="shared" si="19"/>
        <v>0</v>
      </c>
      <c r="T56" s="98">
        <f t="shared" si="19"/>
        <v>0</v>
      </c>
      <c r="U56" s="98">
        <f t="shared" si="19"/>
        <v>0</v>
      </c>
      <c r="V56" s="98">
        <f t="shared" si="19"/>
        <v>0</v>
      </c>
      <c r="W56" s="98">
        <f t="shared" si="19"/>
        <v>0</v>
      </c>
      <c r="X56" s="98">
        <v>20</v>
      </c>
      <c r="Y56" s="238">
        <f t="shared" si="16"/>
        <v>0</v>
      </c>
    </row>
    <row r="57" spans="2:28" s="23" customFormat="1" ht="15" x14ac:dyDescent="0.25">
      <c r="B57" s="240" t="s">
        <v>65</v>
      </c>
      <c r="C57" s="94" t="str">
        <f t="shared" si="17"/>
        <v>EUR</v>
      </c>
      <c r="D57" s="98" t="str">
        <f t="shared" si="18"/>
        <v/>
      </c>
      <c r="E57" s="98">
        <f t="shared" si="18"/>
        <v>0</v>
      </c>
      <c r="F57" s="98">
        <f t="shared" si="18"/>
        <v>0</v>
      </c>
      <c r="G57" s="98">
        <f t="shared" si="18"/>
        <v>0</v>
      </c>
      <c r="H57" s="98">
        <f t="shared" si="18"/>
        <v>0</v>
      </c>
      <c r="I57" s="98">
        <f t="shared" si="18"/>
        <v>0</v>
      </c>
      <c r="J57" s="98">
        <f t="shared" si="18"/>
        <v>0</v>
      </c>
      <c r="K57" s="98">
        <f t="shared" si="18"/>
        <v>0</v>
      </c>
      <c r="L57" s="98">
        <f t="shared" si="18"/>
        <v>0</v>
      </c>
      <c r="M57" s="98">
        <f t="shared" si="18"/>
        <v>0</v>
      </c>
      <c r="N57" s="98">
        <f t="shared" si="19"/>
        <v>0</v>
      </c>
      <c r="O57" s="98">
        <f t="shared" si="19"/>
        <v>0</v>
      </c>
      <c r="P57" s="98">
        <f t="shared" si="19"/>
        <v>0</v>
      </c>
      <c r="Q57" s="98">
        <f t="shared" si="19"/>
        <v>0</v>
      </c>
      <c r="R57" s="98">
        <f t="shared" si="19"/>
        <v>0</v>
      </c>
      <c r="S57" s="98">
        <f t="shared" si="19"/>
        <v>0</v>
      </c>
      <c r="T57" s="98">
        <f t="shared" si="19"/>
        <v>0</v>
      </c>
      <c r="U57" s="98">
        <f t="shared" si="19"/>
        <v>0</v>
      </c>
      <c r="V57" s="98">
        <f t="shared" si="19"/>
        <v>0</v>
      </c>
      <c r="W57" s="98">
        <f t="shared" si="19"/>
        <v>0</v>
      </c>
      <c r="X57" s="98">
        <v>20</v>
      </c>
      <c r="Y57" s="238">
        <f t="shared" si="16"/>
        <v>0</v>
      </c>
    </row>
    <row r="58" spans="2:28" s="23" customFormat="1" ht="15" x14ac:dyDescent="0.25">
      <c r="B58" s="239" t="s">
        <v>66</v>
      </c>
      <c r="C58" s="234"/>
      <c r="D58" s="99"/>
      <c r="E58" s="99"/>
      <c r="F58" s="99"/>
      <c r="G58" s="99"/>
      <c r="H58" s="99"/>
      <c r="I58" s="99"/>
      <c r="J58" s="99"/>
      <c r="K58" s="99"/>
      <c r="L58" s="99"/>
      <c r="M58" s="99"/>
      <c r="N58" s="99"/>
      <c r="O58" s="99"/>
      <c r="P58" s="99"/>
      <c r="Q58" s="99"/>
      <c r="R58" s="99"/>
      <c r="S58" s="99"/>
      <c r="T58" s="99"/>
      <c r="U58" s="99"/>
      <c r="V58" s="99"/>
      <c r="W58" s="99"/>
      <c r="X58" s="98"/>
      <c r="Y58" s="238">
        <f t="shared" si="16"/>
        <v>0</v>
      </c>
    </row>
    <row r="59" spans="2:28" s="23" customFormat="1" ht="15" x14ac:dyDescent="0.25">
      <c r="B59" s="240" t="s">
        <v>67</v>
      </c>
      <c r="C59" s="94" t="str">
        <f t="shared" si="17"/>
        <v>EUR</v>
      </c>
      <c r="D59" s="98" t="str">
        <f t="shared" ref="D59:M65" si="20">IF(D$19&gt;($D$10+$D$11-1),0,"")</f>
        <v/>
      </c>
      <c r="E59" s="98">
        <f t="shared" si="20"/>
        <v>0</v>
      </c>
      <c r="F59" s="98">
        <f t="shared" si="20"/>
        <v>0</v>
      </c>
      <c r="G59" s="98">
        <f t="shared" si="20"/>
        <v>0</v>
      </c>
      <c r="H59" s="98">
        <f t="shared" si="20"/>
        <v>0</v>
      </c>
      <c r="I59" s="98">
        <f t="shared" si="20"/>
        <v>0</v>
      </c>
      <c r="J59" s="98">
        <f t="shared" si="20"/>
        <v>0</v>
      </c>
      <c r="K59" s="98">
        <f t="shared" si="20"/>
        <v>0</v>
      </c>
      <c r="L59" s="98">
        <f t="shared" si="20"/>
        <v>0</v>
      </c>
      <c r="M59" s="98">
        <f t="shared" si="20"/>
        <v>0</v>
      </c>
      <c r="N59" s="98">
        <f t="shared" ref="N59:W65" si="21">IF(N$19&gt;($D$10+$D$11-1),0,"")</f>
        <v>0</v>
      </c>
      <c r="O59" s="98">
        <f t="shared" si="21"/>
        <v>0</v>
      </c>
      <c r="P59" s="98">
        <f t="shared" si="21"/>
        <v>0</v>
      </c>
      <c r="Q59" s="98">
        <f t="shared" si="21"/>
        <v>0</v>
      </c>
      <c r="R59" s="98">
        <f t="shared" si="21"/>
        <v>0</v>
      </c>
      <c r="S59" s="98">
        <f t="shared" si="21"/>
        <v>0</v>
      </c>
      <c r="T59" s="98">
        <f t="shared" si="21"/>
        <v>0</v>
      </c>
      <c r="U59" s="98">
        <f t="shared" si="21"/>
        <v>0</v>
      </c>
      <c r="V59" s="98">
        <f t="shared" si="21"/>
        <v>0</v>
      </c>
      <c r="W59" s="98">
        <f t="shared" si="21"/>
        <v>0</v>
      </c>
      <c r="X59" s="98">
        <v>15</v>
      </c>
      <c r="Y59" s="238">
        <f t="shared" si="16"/>
        <v>0</v>
      </c>
    </row>
    <row r="60" spans="2:28" s="23" customFormat="1" ht="15" x14ac:dyDescent="0.25">
      <c r="B60" s="240" t="s">
        <v>68</v>
      </c>
      <c r="C60" s="94" t="str">
        <f t="shared" si="17"/>
        <v>EUR</v>
      </c>
      <c r="D60" s="98" t="str">
        <f t="shared" si="20"/>
        <v/>
      </c>
      <c r="E60" s="98">
        <f t="shared" si="20"/>
        <v>0</v>
      </c>
      <c r="F60" s="98">
        <f t="shared" si="20"/>
        <v>0</v>
      </c>
      <c r="G60" s="98">
        <f t="shared" si="20"/>
        <v>0</v>
      </c>
      <c r="H60" s="98">
        <f t="shared" si="20"/>
        <v>0</v>
      </c>
      <c r="I60" s="98">
        <f t="shared" si="20"/>
        <v>0</v>
      </c>
      <c r="J60" s="98">
        <f t="shared" si="20"/>
        <v>0</v>
      </c>
      <c r="K60" s="98">
        <f t="shared" si="20"/>
        <v>0</v>
      </c>
      <c r="L60" s="98">
        <f t="shared" si="20"/>
        <v>0</v>
      </c>
      <c r="M60" s="98">
        <f t="shared" si="20"/>
        <v>0</v>
      </c>
      <c r="N60" s="98">
        <f t="shared" si="21"/>
        <v>0</v>
      </c>
      <c r="O60" s="98">
        <f t="shared" si="21"/>
        <v>0</v>
      </c>
      <c r="P60" s="98">
        <f t="shared" si="21"/>
        <v>0</v>
      </c>
      <c r="Q60" s="98">
        <f t="shared" si="21"/>
        <v>0</v>
      </c>
      <c r="R60" s="98">
        <f t="shared" si="21"/>
        <v>0</v>
      </c>
      <c r="S60" s="98">
        <f t="shared" si="21"/>
        <v>0</v>
      </c>
      <c r="T60" s="98">
        <f t="shared" si="21"/>
        <v>0</v>
      </c>
      <c r="U60" s="98">
        <f t="shared" si="21"/>
        <v>0</v>
      </c>
      <c r="V60" s="98">
        <f t="shared" si="21"/>
        <v>0</v>
      </c>
      <c r="W60" s="98">
        <f t="shared" si="21"/>
        <v>0</v>
      </c>
      <c r="X60" s="98">
        <v>20</v>
      </c>
      <c r="Y60" s="238">
        <f t="shared" si="16"/>
        <v>0</v>
      </c>
    </row>
    <row r="61" spans="2:28" s="23" customFormat="1" ht="15" x14ac:dyDescent="0.25">
      <c r="B61" s="240" t="s">
        <v>69</v>
      </c>
      <c r="C61" s="94" t="str">
        <f t="shared" si="17"/>
        <v>EUR</v>
      </c>
      <c r="D61" s="98" t="str">
        <f t="shared" si="20"/>
        <v/>
      </c>
      <c r="E61" s="98">
        <f t="shared" si="20"/>
        <v>0</v>
      </c>
      <c r="F61" s="98">
        <f t="shared" si="20"/>
        <v>0</v>
      </c>
      <c r="G61" s="98">
        <f t="shared" si="20"/>
        <v>0</v>
      </c>
      <c r="H61" s="98">
        <f t="shared" si="20"/>
        <v>0</v>
      </c>
      <c r="I61" s="98">
        <f t="shared" si="20"/>
        <v>0</v>
      </c>
      <c r="J61" s="98">
        <f t="shared" si="20"/>
        <v>0</v>
      </c>
      <c r="K61" s="98">
        <f t="shared" si="20"/>
        <v>0</v>
      </c>
      <c r="L61" s="98">
        <f t="shared" si="20"/>
        <v>0</v>
      </c>
      <c r="M61" s="98">
        <f t="shared" si="20"/>
        <v>0</v>
      </c>
      <c r="N61" s="98">
        <f t="shared" si="21"/>
        <v>0</v>
      </c>
      <c r="O61" s="98">
        <f t="shared" si="21"/>
        <v>0</v>
      </c>
      <c r="P61" s="98">
        <f t="shared" si="21"/>
        <v>0</v>
      </c>
      <c r="Q61" s="98">
        <f t="shared" si="21"/>
        <v>0</v>
      </c>
      <c r="R61" s="98">
        <f t="shared" si="21"/>
        <v>0</v>
      </c>
      <c r="S61" s="98">
        <f t="shared" si="21"/>
        <v>0</v>
      </c>
      <c r="T61" s="98">
        <f t="shared" si="21"/>
        <v>0</v>
      </c>
      <c r="U61" s="98">
        <f t="shared" si="21"/>
        <v>0</v>
      </c>
      <c r="V61" s="98">
        <f t="shared" si="21"/>
        <v>0</v>
      </c>
      <c r="W61" s="98">
        <f t="shared" si="21"/>
        <v>0</v>
      </c>
      <c r="X61" s="98">
        <v>10</v>
      </c>
      <c r="Y61" s="238">
        <f t="shared" si="16"/>
        <v>0</v>
      </c>
    </row>
    <row r="62" spans="2:28" s="23" customFormat="1" ht="15" x14ac:dyDescent="0.25">
      <c r="B62" s="240" t="s">
        <v>70</v>
      </c>
      <c r="C62" s="94" t="str">
        <f t="shared" si="17"/>
        <v>EUR</v>
      </c>
      <c r="D62" s="98" t="str">
        <f t="shared" si="20"/>
        <v/>
      </c>
      <c r="E62" s="98">
        <f t="shared" si="20"/>
        <v>0</v>
      </c>
      <c r="F62" s="98">
        <f t="shared" si="20"/>
        <v>0</v>
      </c>
      <c r="G62" s="98">
        <f t="shared" si="20"/>
        <v>0</v>
      </c>
      <c r="H62" s="98">
        <f t="shared" si="20"/>
        <v>0</v>
      </c>
      <c r="I62" s="98">
        <f t="shared" si="20"/>
        <v>0</v>
      </c>
      <c r="J62" s="98">
        <f t="shared" si="20"/>
        <v>0</v>
      </c>
      <c r="K62" s="98">
        <f t="shared" si="20"/>
        <v>0</v>
      </c>
      <c r="L62" s="98">
        <f t="shared" si="20"/>
        <v>0</v>
      </c>
      <c r="M62" s="98">
        <f t="shared" si="20"/>
        <v>0</v>
      </c>
      <c r="N62" s="98">
        <f t="shared" si="21"/>
        <v>0</v>
      </c>
      <c r="O62" s="98">
        <f t="shared" si="21"/>
        <v>0</v>
      </c>
      <c r="P62" s="98">
        <f t="shared" si="21"/>
        <v>0</v>
      </c>
      <c r="Q62" s="98">
        <f t="shared" si="21"/>
        <v>0</v>
      </c>
      <c r="R62" s="98">
        <f t="shared" si="21"/>
        <v>0</v>
      </c>
      <c r="S62" s="98">
        <f t="shared" si="21"/>
        <v>0</v>
      </c>
      <c r="T62" s="98">
        <f t="shared" si="21"/>
        <v>0</v>
      </c>
      <c r="U62" s="98">
        <f t="shared" si="21"/>
        <v>0</v>
      </c>
      <c r="V62" s="98">
        <f t="shared" si="21"/>
        <v>0</v>
      </c>
      <c r="W62" s="98">
        <f t="shared" si="21"/>
        <v>0</v>
      </c>
      <c r="X62" s="98">
        <v>40</v>
      </c>
      <c r="Y62" s="238">
        <f t="shared" si="16"/>
        <v>0</v>
      </c>
    </row>
    <row r="63" spans="2:28" s="23" customFormat="1" ht="15" x14ac:dyDescent="0.25">
      <c r="B63" s="240" t="s">
        <v>71</v>
      </c>
      <c r="C63" s="94" t="str">
        <f t="shared" si="17"/>
        <v>EUR</v>
      </c>
      <c r="D63" s="98" t="str">
        <f t="shared" si="20"/>
        <v/>
      </c>
      <c r="E63" s="98">
        <f t="shared" si="20"/>
        <v>0</v>
      </c>
      <c r="F63" s="98">
        <f t="shared" si="20"/>
        <v>0</v>
      </c>
      <c r="G63" s="98">
        <f t="shared" si="20"/>
        <v>0</v>
      </c>
      <c r="H63" s="98">
        <f t="shared" si="20"/>
        <v>0</v>
      </c>
      <c r="I63" s="98">
        <f t="shared" si="20"/>
        <v>0</v>
      </c>
      <c r="J63" s="98">
        <f t="shared" si="20"/>
        <v>0</v>
      </c>
      <c r="K63" s="98">
        <f t="shared" si="20"/>
        <v>0</v>
      </c>
      <c r="L63" s="98">
        <f t="shared" si="20"/>
        <v>0</v>
      </c>
      <c r="M63" s="98">
        <f t="shared" si="20"/>
        <v>0</v>
      </c>
      <c r="N63" s="98">
        <f t="shared" si="21"/>
        <v>0</v>
      </c>
      <c r="O63" s="98">
        <f t="shared" si="21"/>
        <v>0</v>
      </c>
      <c r="P63" s="98">
        <f t="shared" si="21"/>
        <v>0</v>
      </c>
      <c r="Q63" s="98">
        <f t="shared" si="21"/>
        <v>0</v>
      </c>
      <c r="R63" s="98">
        <f t="shared" si="21"/>
        <v>0</v>
      </c>
      <c r="S63" s="98">
        <f t="shared" si="21"/>
        <v>0</v>
      </c>
      <c r="T63" s="98">
        <f t="shared" si="21"/>
        <v>0</v>
      </c>
      <c r="U63" s="98">
        <f t="shared" si="21"/>
        <v>0</v>
      </c>
      <c r="V63" s="98">
        <f t="shared" si="21"/>
        <v>0</v>
      </c>
      <c r="W63" s="98">
        <f t="shared" si="21"/>
        <v>0</v>
      </c>
      <c r="X63" s="98">
        <v>10</v>
      </c>
      <c r="Y63" s="238">
        <f t="shared" si="16"/>
        <v>0</v>
      </c>
    </row>
    <row r="64" spans="2:28" s="23" customFormat="1" ht="15" x14ac:dyDescent="0.25">
      <c r="B64" s="240" t="s">
        <v>72</v>
      </c>
      <c r="C64" s="94" t="str">
        <f t="shared" si="17"/>
        <v>EUR</v>
      </c>
      <c r="D64" s="98" t="str">
        <f t="shared" si="20"/>
        <v/>
      </c>
      <c r="E64" s="98">
        <f t="shared" si="20"/>
        <v>0</v>
      </c>
      <c r="F64" s="98">
        <f t="shared" si="20"/>
        <v>0</v>
      </c>
      <c r="G64" s="98">
        <f t="shared" si="20"/>
        <v>0</v>
      </c>
      <c r="H64" s="98">
        <f t="shared" si="20"/>
        <v>0</v>
      </c>
      <c r="I64" s="98">
        <f t="shared" si="20"/>
        <v>0</v>
      </c>
      <c r="J64" s="98">
        <f t="shared" si="20"/>
        <v>0</v>
      </c>
      <c r="K64" s="98">
        <f t="shared" si="20"/>
        <v>0</v>
      </c>
      <c r="L64" s="98">
        <f t="shared" si="20"/>
        <v>0</v>
      </c>
      <c r="M64" s="98">
        <f t="shared" si="20"/>
        <v>0</v>
      </c>
      <c r="N64" s="98">
        <f t="shared" si="21"/>
        <v>0</v>
      </c>
      <c r="O64" s="98">
        <f t="shared" si="21"/>
        <v>0</v>
      </c>
      <c r="P64" s="98">
        <f t="shared" si="21"/>
        <v>0</v>
      </c>
      <c r="Q64" s="98">
        <f t="shared" si="21"/>
        <v>0</v>
      </c>
      <c r="R64" s="98">
        <f t="shared" si="21"/>
        <v>0</v>
      </c>
      <c r="S64" s="98">
        <f t="shared" si="21"/>
        <v>0</v>
      </c>
      <c r="T64" s="98">
        <f t="shared" si="21"/>
        <v>0</v>
      </c>
      <c r="U64" s="98">
        <f t="shared" si="21"/>
        <v>0</v>
      </c>
      <c r="V64" s="98">
        <f t="shared" si="21"/>
        <v>0</v>
      </c>
      <c r="W64" s="98">
        <f t="shared" si="21"/>
        <v>0</v>
      </c>
      <c r="X64" s="98">
        <v>10</v>
      </c>
      <c r="Y64" s="238">
        <f t="shared" si="16"/>
        <v>0</v>
      </c>
    </row>
    <row r="65" spans="2:26" s="23" customFormat="1" ht="15" x14ac:dyDescent="0.25">
      <c r="B65" s="240" t="s">
        <v>73</v>
      </c>
      <c r="C65" s="94" t="str">
        <f t="shared" si="17"/>
        <v>EUR</v>
      </c>
      <c r="D65" s="98" t="str">
        <f t="shared" si="20"/>
        <v/>
      </c>
      <c r="E65" s="98">
        <f t="shared" si="20"/>
        <v>0</v>
      </c>
      <c r="F65" s="98">
        <f t="shared" si="20"/>
        <v>0</v>
      </c>
      <c r="G65" s="98">
        <f t="shared" si="20"/>
        <v>0</v>
      </c>
      <c r="H65" s="98">
        <f t="shared" si="20"/>
        <v>0</v>
      </c>
      <c r="I65" s="98">
        <f t="shared" si="20"/>
        <v>0</v>
      </c>
      <c r="J65" s="98">
        <f t="shared" si="20"/>
        <v>0</v>
      </c>
      <c r="K65" s="98">
        <f t="shared" si="20"/>
        <v>0</v>
      </c>
      <c r="L65" s="98">
        <f t="shared" si="20"/>
        <v>0</v>
      </c>
      <c r="M65" s="98">
        <f t="shared" si="20"/>
        <v>0</v>
      </c>
      <c r="N65" s="98">
        <f t="shared" si="21"/>
        <v>0</v>
      </c>
      <c r="O65" s="98">
        <f t="shared" si="21"/>
        <v>0</v>
      </c>
      <c r="P65" s="98">
        <f t="shared" si="21"/>
        <v>0</v>
      </c>
      <c r="Q65" s="98">
        <f t="shared" si="21"/>
        <v>0</v>
      </c>
      <c r="R65" s="98">
        <f t="shared" si="21"/>
        <v>0</v>
      </c>
      <c r="S65" s="98">
        <f t="shared" si="21"/>
        <v>0</v>
      </c>
      <c r="T65" s="98">
        <f t="shared" si="21"/>
        <v>0</v>
      </c>
      <c r="U65" s="98">
        <f t="shared" si="21"/>
        <v>0</v>
      </c>
      <c r="V65" s="98">
        <f t="shared" si="21"/>
        <v>0</v>
      </c>
      <c r="W65" s="98">
        <f t="shared" si="21"/>
        <v>0</v>
      </c>
      <c r="X65" s="98">
        <v>10</v>
      </c>
      <c r="Y65" s="238">
        <f t="shared" si="16"/>
        <v>0</v>
      </c>
    </row>
    <row r="66" spans="2:26" s="23" customFormat="1" ht="15" x14ac:dyDescent="0.25">
      <c r="B66" s="166" t="s">
        <v>74</v>
      </c>
      <c r="C66" s="94" t="str">
        <f t="shared" si="17"/>
        <v>EUR</v>
      </c>
      <c r="D66" s="98">
        <v>0</v>
      </c>
      <c r="E66" s="98">
        <f t="shared" ref="E66:N69" si="22">IF(E$19&gt;($D$10+$D$11-1),0,"")</f>
        <v>0</v>
      </c>
      <c r="F66" s="98">
        <f t="shared" si="22"/>
        <v>0</v>
      </c>
      <c r="G66" s="98">
        <f t="shared" si="22"/>
        <v>0</v>
      </c>
      <c r="H66" s="98">
        <f t="shared" si="22"/>
        <v>0</v>
      </c>
      <c r="I66" s="98">
        <f t="shared" si="22"/>
        <v>0</v>
      </c>
      <c r="J66" s="98">
        <f t="shared" si="22"/>
        <v>0</v>
      </c>
      <c r="K66" s="98">
        <f t="shared" si="22"/>
        <v>0</v>
      </c>
      <c r="L66" s="98">
        <f t="shared" si="22"/>
        <v>0</v>
      </c>
      <c r="M66" s="98">
        <f t="shared" si="22"/>
        <v>0</v>
      </c>
      <c r="N66" s="98">
        <f t="shared" si="22"/>
        <v>0</v>
      </c>
      <c r="O66" s="98">
        <f t="shared" ref="O66:W69" si="23">IF(O$19&gt;($D$10+$D$11-1),0,"")</f>
        <v>0</v>
      </c>
      <c r="P66" s="98">
        <f t="shared" si="23"/>
        <v>0</v>
      </c>
      <c r="Q66" s="98">
        <f t="shared" si="23"/>
        <v>0</v>
      </c>
      <c r="R66" s="98">
        <f t="shared" si="23"/>
        <v>0</v>
      </c>
      <c r="S66" s="98">
        <f t="shared" si="23"/>
        <v>0</v>
      </c>
      <c r="T66" s="98">
        <f t="shared" si="23"/>
        <v>0</v>
      </c>
      <c r="U66" s="98">
        <f t="shared" si="23"/>
        <v>0</v>
      </c>
      <c r="V66" s="98">
        <f t="shared" si="23"/>
        <v>0</v>
      </c>
      <c r="W66" s="98">
        <f t="shared" si="23"/>
        <v>0</v>
      </c>
      <c r="X66" s="98">
        <v>0</v>
      </c>
      <c r="Y66" s="238">
        <f t="shared" si="16"/>
        <v>0</v>
      </c>
    </row>
    <row r="67" spans="2:26" s="23" customFormat="1" ht="15" x14ac:dyDescent="0.25">
      <c r="B67" s="166" t="s">
        <v>83</v>
      </c>
      <c r="C67" s="94" t="str">
        <f t="shared" si="17"/>
        <v>EUR</v>
      </c>
      <c r="D67" s="98" t="str">
        <f>IF(D$19&gt;($D$10+$D$11-1),0,"")</f>
        <v/>
      </c>
      <c r="E67" s="98">
        <f t="shared" si="22"/>
        <v>0</v>
      </c>
      <c r="F67" s="98">
        <f t="shared" si="22"/>
        <v>0</v>
      </c>
      <c r="G67" s="98">
        <f t="shared" si="22"/>
        <v>0</v>
      </c>
      <c r="H67" s="98">
        <f t="shared" si="22"/>
        <v>0</v>
      </c>
      <c r="I67" s="98">
        <f t="shared" si="22"/>
        <v>0</v>
      </c>
      <c r="J67" s="98">
        <f t="shared" si="22"/>
        <v>0</v>
      </c>
      <c r="K67" s="98">
        <f t="shared" si="22"/>
        <v>0</v>
      </c>
      <c r="L67" s="98">
        <f t="shared" si="22"/>
        <v>0</v>
      </c>
      <c r="M67" s="98">
        <f t="shared" si="22"/>
        <v>0</v>
      </c>
      <c r="N67" s="98">
        <f t="shared" si="22"/>
        <v>0</v>
      </c>
      <c r="O67" s="98">
        <f t="shared" si="23"/>
        <v>0</v>
      </c>
      <c r="P67" s="98">
        <f t="shared" si="23"/>
        <v>0</v>
      </c>
      <c r="Q67" s="98">
        <f t="shared" si="23"/>
        <v>0</v>
      </c>
      <c r="R67" s="98">
        <f t="shared" si="23"/>
        <v>0</v>
      </c>
      <c r="S67" s="98">
        <f t="shared" si="23"/>
        <v>0</v>
      </c>
      <c r="T67" s="98">
        <f t="shared" si="23"/>
        <v>0</v>
      </c>
      <c r="U67" s="98">
        <f t="shared" si="23"/>
        <v>0</v>
      </c>
      <c r="V67" s="98">
        <f t="shared" si="23"/>
        <v>0</v>
      </c>
      <c r="W67" s="98">
        <f t="shared" si="23"/>
        <v>0</v>
      </c>
      <c r="X67" s="98">
        <v>0</v>
      </c>
      <c r="Y67" s="238">
        <f t="shared" si="16"/>
        <v>0</v>
      </c>
    </row>
    <row r="68" spans="2:26" s="23" customFormat="1" ht="15" x14ac:dyDescent="0.25">
      <c r="B68" s="166" t="s">
        <v>84</v>
      </c>
      <c r="C68" s="94" t="str">
        <f t="shared" si="17"/>
        <v>EUR</v>
      </c>
      <c r="D68" s="98" t="str">
        <f>IF(D$19&gt;($D$10+$D$11-1),0,"")</f>
        <v/>
      </c>
      <c r="E68" s="98">
        <f t="shared" si="22"/>
        <v>0</v>
      </c>
      <c r="F68" s="98">
        <f t="shared" si="22"/>
        <v>0</v>
      </c>
      <c r="G68" s="98">
        <f t="shared" si="22"/>
        <v>0</v>
      </c>
      <c r="H68" s="98">
        <f t="shared" si="22"/>
        <v>0</v>
      </c>
      <c r="I68" s="98">
        <f t="shared" si="22"/>
        <v>0</v>
      </c>
      <c r="J68" s="98">
        <f t="shared" si="22"/>
        <v>0</v>
      </c>
      <c r="K68" s="98">
        <f t="shared" si="22"/>
        <v>0</v>
      </c>
      <c r="L68" s="98">
        <f t="shared" si="22"/>
        <v>0</v>
      </c>
      <c r="M68" s="98">
        <f t="shared" si="22"/>
        <v>0</v>
      </c>
      <c r="N68" s="98">
        <f t="shared" si="22"/>
        <v>0</v>
      </c>
      <c r="O68" s="98">
        <f t="shared" si="23"/>
        <v>0</v>
      </c>
      <c r="P68" s="98">
        <f t="shared" si="23"/>
        <v>0</v>
      </c>
      <c r="Q68" s="98">
        <f t="shared" si="23"/>
        <v>0</v>
      </c>
      <c r="R68" s="98">
        <f t="shared" si="23"/>
        <v>0</v>
      </c>
      <c r="S68" s="98">
        <f t="shared" si="23"/>
        <v>0</v>
      </c>
      <c r="T68" s="98">
        <f t="shared" si="23"/>
        <v>0</v>
      </c>
      <c r="U68" s="98">
        <f t="shared" si="23"/>
        <v>0</v>
      </c>
      <c r="V68" s="98">
        <f t="shared" si="23"/>
        <v>0</v>
      </c>
      <c r="W68" s="98">
        <f t="shared" si="23"/>
        <v>0</v>
      </c>
      <c r="X68" s="98">
        <v>0</v>
      </c>
      <c r="Y68" s="238">
        <f t="shared" si="16"/>
        <v>0</v>
      </c>
    </row>
    <row r="69" spans="2:26" s="23" customFormat="1" ht="15" x14ac:dyDescent="0.25">
      <c r="B69" s="166" t="s">
        <v>85</v>
      </c>
      <c r="C69" s="94" t="str">
        <f t="shared" si="17"/>
        <v>EUR</v>
      </c>
      <c r="D69" s="98">
        <v>50000</v>
      </c>
      <c r="E69" s="98">
        <f t="shared" si="22"/>
        <v>0</v>
      </c>
      <c r="F69" s="98">
        <f t="shared" si="22"/>
        <v>0</v>
      </c>
      <c r="G69" s="98">
        <f t="shared" si="22"/>
        <v>0</v>
      </c>
      <c r="H69" s="98">
        <f t="shared" si="22"/>
        <v>0</v>
      </c>
      <c r="I69" s="98">
        <f t="shared" si="22"/>
        <v>0</v>
      </c>
      <c r="J69" s="98">
        <f t="shared" si="22"/>
        <v>0</v>
      </c>
      <c r="K69" s="98">
        <f t="shared" si="22"/>
        <v>0</v>
      </c>
      <c r="L69" s="98">
        <f t="shared" si="22"/>
        <v>0</v>
      </c>
      <c r="M69" s="98">
        <f t="shared" si="22"/>
        <v>0</v>
      </c>
      <c r="N69" s="98">
        <f t="shared" si="22"/>
        <v>0</v>
      </c>
      <c r="O69" s="98">
        <f t="shared" si="23"/>
        <v>0</v>
      </c>
      <c r="P69" s="98">
        <f t="shared" si="23"/>
        <v>0</v>
      </c>
      <c r="Q69" s="98">
        <f t="shared" si="23"/>
        <v>0</v>
      </c>
      <c r="R69" s="98">
        <f t="shared" si="23"/>
        <v>0</v>
      </c>
      <c r="S69" s="98">
        <f t="shared" si="23"/>
        <v>0</v>
      </c>
      <c r="T69" s="98">
        <f t="shared" si="23"/>
        <v>0</v>
      </c>
      <c r="U69" s="98">
        <f t="shared" si="23"/>
        <v>0</v>
      </c>
      <c r="V69" s="98">
        <f t="shared" si="23"/>
        <v>0</v>
      </c>
      <c r="W69" s="98">
        <f t="shared" si="23"/>
        <v>0</v>
      </c>
      <c r="X69" s="98">
        <v>0</v>
      </c>
      <c r="Y69" s="238">
        <f t="shared" si="16"/>
        <v>0</v>
      </c>
    </row>
    <row r="70" spans="2:26" s="23" customFormat="1" ht="15" x14ac:dyDescent="0.25">
      <c r="B70" s="232" t="s">
        <v>79</v>
      </c>
      <c r="C70" s="101" t="str">
        <f t="shared" si="17"/>
        <v>EUR</v>
      </c>
      <c r="D70" s="98">
        <f t="shared" ref="D70:W70" si="24">SUM(D49:D69)</f>
        <v>50000</v>
      </c>
      <c r="E70" s="98">
        <f t="shared" si="24"/>
        <v>0</v>
      </c>
      <c r="F70" s="98">
        <f t="shared" si="24"/>
        <v>0</v>
      </c>
      <c r="G70" s="102">
        <f t="shared" si="24"/>
        <v>0</v>
      </c>
      <c r="H70" s="102">
        <f t="shared" si="24"/>
        <v>0</v>
      </c>
      <c r="I70" s="102">
        <f t="shared" si="24"/>
        <v>0</v>
      </c>
      <c r="J70" s="102">
        <f t="shared" si="24"/>
        <v>0</v>
      </c>
      <c r="K70" s="102">
        <f t="shared" si="24"/>
        <v>0</v>
      </c>
      <c r="L70" s="102">
        <f t="shared" si="24"/>
        <v>0</v>
      </c>
      <c r="M70" s="102">
        <f t="shared" si="24"/>
        <v>0</v>
      </c>
      <c r="N70" s="102">
        <f t="shared" si="24"/>
        <v>0</v>
      </c>
      <c r="O70" s="102">
        <f t="shared" si="24"/>
        <v>0</v>
      </c>
      <c r="P70" s="102">
        <f t="shared" si="24"/>
        <v>0</v>
      </c>
      <c r="Q70" s="102">
        <f t="shared" si="24"/>
        <v>0</v>
      </c>
      <c r="R70" s="102">
        <f t="shared" si="24"/>
        <v>0</v>
      </c>
      <c r="S70" s="102">
        <f t="shared" si="24"/>
        <v>0</v>
      </c>
      <c r="T70" s="102">
        <f t="shared" si="24"/>
        <v>0</v>
      </c>
      <c r="U70" s="102">
        <f t="shared" si="24"/>
        <v>0</v>
      </c>
      <c r="V70" s="102">
        <f t="shared" si="24"/>
        <v>0</v>
      </c>
      <c r="W70" s="102">
        <f t="shared" si="24"/>
        <v>0</v>
      </c>
      <c r="X70" s="102">
        <v>0</v>
      </c>
      <c r="Y70" s="238">
        <f>SUM(Y49:Y69)</f>
        <v>0</v>
      </c>
    </row>
    <row r="71" spans="2:26" s="23" customFormat="1" ht="15" x14ac:dyDescent="0.25">
      <c r="B71" s="166" t="s">
        <v>80</v>
      </c>
      <c r="C71" s="94" t="str">
        <f t="shared" si="17"/>
        <v>EUR</v>
      </c>
      <c r="D71" s="98" t="str">
        <f t="shared" ref="D71:W71" si="25">IF(D$19&gt;($D$10+$D$11-1),0,"")</f>
        <v/>
      </c>
      <c r="E71" s="98">
        <f t="shared" si="25"/>
        <v>0</v>
      </c>
      <c r="F71" s="98">
        <f t="shared" si="25"/>
        <v>0</v>
      </c>
      <c r="G71" s="98">
        <f t="shared" si="25"/>
        <v>0</v>
      </c>
      <c r="H71" s="98">
        <f t="shared" si="25"/>
        <v>0</v>
      </c>
      <c r="I71" s="98">
        <f t="shared" si="25"/>
        <v>0</v>
      </c>
      <c r="J71" s="98">
        <f t="shared" si="25"/>
        <v>0</v>
      </c>
      <c r="K71" s="98">
        <f t="shared" si="25"/>
        <v>0</v>
      </c>
      <c r="L71" s="98">
        <f t="shared" si="25"/>
        <v>0</v>
      </c>
      <c r="M71" s="98">
        <f t="shared" si="25"/>
        <v>0</v>
      </c>
      <c r="N71" s="98">
        <f t="shared" si="25"/>
        <v>0</v>
      </c>
      <c r="O71" s="98">
        <f t="shared" si="25"/>
        <v>0</v>
      </c>
      <c r="P71" s="98">
        <f t="shared" si="25"/>
        <v>0</v>
      </c>
      <c r="Q71" s="98">
        <f t="shared" si="25"/>
        <v>0</v>
      </c>
      <c r="R71" s="98">
        <f t="shared" si="25"/>
        <v>0</v>
      </c>
      <c r="S71" s="98">
        <f t="shared" si="25"/>
        <v>0</v>
      </c>
      <c r="T71" s="98">
        <f t="shared" si="25"/>
        <v>0</v>
      </c>
      <c r="U71" s="98">
        <f t="shared" si="25"/>
        <v>0</v>
      </c>
      <c r="V71" s="98">
        <f t="shared" si="25"/>
        <v>0</v>
      </c>
      <c r="W71" s="98">
        <f t="shared" si="25"/>
        <v>0</v>
      </c>
      <c r="X71" s="98">
        <v>0</v>
      </c>
      <c r="Y71" s="238">
        <f>IFERROR((SUM(D71:W71)/SUM(D70:W70))*Y70, 0)</f>
        <v>0</v>
      </c>
      <c r="Z71" s="32"/>
    </row>
    <row r="72" spans="2:26" s="23" customFormat="1" ht="15.75" thickBot="1" x14ac:dyDescent="0.3">
      <c r="B72" s="241" t="s">
        <v>81</v>
      </c>
      <c r="C72" s="204" t="str">
        <f t="shared" si="17"/>
        <v>EUR</v>
      </c>
      <c r="D72" s="235">
        <f>SUM(D70:D71)</f>
        <v>50000</v>
      </c>
      <c r="E72" s="235">
        <f t="shared" ref="E72:Y72" si="26">SUM(E70:E71)</f>
        <v>0</v>
      </c>
      <c r="F72" s="235">
        <f t="shared" si="26"/>
        <v>0</v>
      </c>
      <c r="G72" s="235">
        <f t="shared" si="26"/>
        <v>0</v>
      </c>
      <c r="H72" s="235">
        <f t="shared" si="26"/>
        <v>0</v>
      </c>
      <c r="I72" s="235">
        <f t="shared" si="26"/>
        <v>0</v>
      </c>
      <c r="J72" s="235">
        <f t="shared" si="26"/>
        <v>0</v>
      </c>
      <c r="K72" s="235">
        <f t="shared" si="26"/>
        <v>0</v>
      </c>
      <c r="L72" s="235">
        <f t="shared" si="26"/>
        <v>0</v>
      </c>
      <c r="M72" s="235">
        <f t="shared" si="26"/>
        <v>0</v>
      </c>
      <c r="N72" s="235">
        <f t="shared" si="26"/>
        <v>0</v>
      </c>
      <c r="O72" s="235">
        <f t="shared" si="26"/>
        <v>0</v>
      </c>
      <c r="P72" s="235">
        <f t="shared" si="26"/>
        <v>0</v>
      </c>
      <c r="Q72" s="235">
        <f t="shared" si="26"/>
        <v>0</v>
      </c>
      <c r="R72" s="235">
        <f t="shared" si="26"/>
        <v>0</v>
      </c>
      <c r="S72" s="235">
        <f t="shared" si="26"/>
        <v>0</v>
      </c>
      <c r="T72" s="235">
        <f t="shared" si="26"/>
        <v>0</v>
      </c>
      <c r="U72" s="235">
        <f t="shared" si="26"/>
        <v>0</v>
      </c>
      <c r="V72" s="235">
        <f t="shared" si="26"/>
        <v>0</v>
      </c>
      <c r="W72" s="235">
        <f t="shared" si="26"/>
        <v>0</v>
      </c>
      <c r="X72" s="235">
        <f t="shared" si="26"/>
        <v>0</v>
      </c>
      <c r="Y72" s="236">
        <f t="shared" si="26"/>
        <v>0</v>
      </c>
    </row>
    <row r="73" spans="2:26" s="23" customFormat="1" ht="15" x14ac:dyDescent="0.25">
      <c r="B73" s="26"/>
      <c r="C73" s="26"/>
      <c r="D73" s="26"/>
      <c r="E73" s="26"/>
      <c r="F73" s="26"/>
      <c r="G73" s="26"/>
      <c r="H73" s="26"/>
      <c r="I73" s="26"/>
      <c r="J73" s="26"/>
      <c r="K73" s="26"/>
      <c r="L73" s="26"/>
      <c r="M73" s="26"/>
      <c r="N73" s="26"/>
      <c r="O73" s="26"/>
      <c r="P73" s="26"/>
      <c r="Q73" s="26"/>
      <c r="R73" s="26"/>
      <c r="S73" s="26"/>
      <c r="T73" s="26"/>
      <c r="U73" s="26"/>
      <c r="V73" s="26"/>
      <c r="W73" s="26"/>
    </row>
    <row r="74" spans="2:26" s="23" customFormat="1" ht="15.75" thickBot="1" x14ac:dyDescent="0.3">
      <c r="B74" s="26"/>
      <c r="C74" s="94" t="s">
        <v>86</v>
      </c>
      <c r="D74" s="244">
        <f>IFERROR(((SUM(D44:W44)+SUM(D71:W71))/((SUM(D43:W43)+SUM(D70:W70)))),0)</f>
        <v>0.24122975652400871</v>
      </c>
      <c r="E74" s="34"/>
      <c r="F74" s="36"/>
      <c r="G74" s="34"/>
      <c r="H74" s="34"/>
      <c r="I74" s="34"/>
      <c r="J74" s="34"/>
      <c r="K74" s="34"/>
      <c r="L74" s="34"/>
      <c r="M74" s="34"/>
      <c r="N74" s="34"/>
      <c r="O74" s="34"/>
      <c r="P74" s="34"/>
      <c r="Q74" s="34"/>
      <c r="R74" s="34"/>
      <c r="S74" s="34"/>
      <c r="T74" s="34"/>
      <c r="U74" s="34"/>
      <c r="V74" s="34"/>
      <c r="W74" s="33"/>
    </row>
    <row r="75" spans="2:26" s="23" customFormat="1" ht="15.75" thickBot="1" x14ac:dyDescent="0.3">
      <c r="B75" s="128" t="s">
        <v>87</v>
      </c>
      <c r="C75" s="66"/>
      <c r="D75" s="67">
        <f t="shared" ref="D75:W75" si="27">D47</f>
        <v>2025</v>
      </c>
      <c r="E75" s="67">
        <f t="shared" si="27"/>
        <v>2026</v>
      </c>
      <c r="F75" s="67">
        <f t="shared" si="27"/>
        <v>2027</v>
      </c>
      <c r="G75" s="67">
        <f t="shared" si="27"/>
        <v>2028</v>
      </c>
      <c r="H75" s="67">
        <f t="shared" si="27"/>
        <v>2029</v>
      </c>
      <c r="I75" s="67">
        <f t="shared" si="27"/>
        <v>2030</v>
      </c>
      <c r="J75" s="67">
        <f t="shared" si="27"/>
        <v>2031</v>
      </c>
      <c r="K75" s="67">
        <f t="shared" si="27"/>
        <v>2032</v>
      </c>
      <c r="L75" s="67">
        <f t="shared" si="27"/>
        <v>2033</v>
      </c>
      <c r="M75" s="67">
        <f t="shared" si="27"/>
        <v>2034</v>
      </c>
      <c r="N75" s="67">
        <f t="shared" si="27"/>
        <v>2035</v>
      </c>
      <c r="O75" s="67">
        <f t="shared" si="27"/>
        <v>2036</v>
      </c>
      <c r="P75" s="67">
        <f t="shared" si="27"/>
        <v>2037</v>
      </c>
      <c r="Q75" s="67">
        <f t="shared" si="27"/>
        <v>2038</v>
      </c>
      <c r="R75" s="67">
        <f t="shared" si="27"/>
        <v>2039</v>
      </c>
      <c r="S75" s="67">
        <f t="shared" si="27"/>
        <v>2040</v>
      </c>
      <c r="T75" s="67">
        <f t="shared" si="27"/>
        <v>2041</v>
      </c>
      <c r="U75" s="67">
        <f t="shared" si="27"/>
        <v>2042</v>
      </c>
      <c r="V75" s="67">
        <f t="shared" si="27"/>
        <v>2043</v>
      </c>
      <c r="W75" s="68">
        <f t="shared" si="27"/>
        <v>2044</v>
      </c>
    </row>
    <row r="76" spans="2:26" s="23" customFormat="1" ht="15" x14ac:dyDescent="0.25">
      <c r="B76" s="166" t="s">
        <v>54</v>
      </c>
      <c r="C76" s="94" t="str">
        <f>Currency</f>
        <v>EUR</v>
      </c>
      <c r="D76" s="228">
        <f t="shared" ref="D76:W76" si="28">IF($D$14="NO",D45,D43)</f>
        <v>1719092.5</v>
      </c>
      <c r="E76" s="228">
        <f t="shared" si="28"/>
        <v>0</v>
      </c>
      <c r="F76" s="228">
        <f t="shared" si="28"/>
        <v>0</v>
      </c>
      <c r="G76" s="228">
        <f t="shared" si="28"/>
        <v>0</v>
      </c>
      <c r="H76" s="228">
        <f t="shared" si="28"/>
        <v>0</v>
      </c>
      <c r="I76" s="228">
        <f t="shared" si="28"/>
        <v>0</v>
      </c>
      <c r="J76" s="228">
        <f t="shared" si="28"/>
        <v>0</v>
      </c>
      <c r="K76" s="228">
        <f t="shared" si="28"/>
        <v>0</v>
      </c>
      <c r="L76" s="228">
        <f t="shared" si="28"/>
        <v>0</v>
      </c>
      <c r="M76" s="228">
        <f t="shared" si="28"/>
        <v>0</v>
      </c>
      <c r="N76" s="228">
        <f t="shared" si="28"/>
        <v>0</v>
      </c>
      <c r="O76" s="228">
        <f t="shared" si="28"/>
        <v>0</v>
      </c>
      <c r="P76" s="228">
        <f t="shared" si="28"/>
        <v>0</v>
      </c>
      <c r="Q76" s="228">
        <f t="shared" si="28"/>
        <v>0</v>
      </c>
      <c r="R76" s="228">
        <f t="shared" si="28"/>
        <v>0</v>
      </c>
      <c r="S76" s="228">
        <f t="shared" si="28"/>
        <v>0</v>
      </c>
      <c r="T76" s="228">
        <f t="shared" si="28"/>
        <v>0</v>
      </c>
      <c r="U76" s="228">
        <f t="shared" si="28"/>
        <v>0</v>
      </c>
      <c r="V76" s="228">
        <f t="shared" si="28"/>
        <v>0</v>
      </c>
      <c r="W76" s="229">
        <f t="shared" si="28"/>
        <v>0</v>
      </c>
    </row>
    <row r="77" spans="2:26" s="23" customFormat="1" ht="15.75" thickBot="1" x14ac:dyDescent="0.3">
      <c r="B77" s="166" t="s">
        <v>82</v>
      </c>
      <c r="C77" s="94" t="str">
        <f>Currency</f>
        <v>EUR</v>
      </c>
      <c r="D77" s="230">
        <f>IF($D$14="NO",D72,D70)</f>
        <v>50000</v>
      </c>
      <c r="E77" s="230">
        <f t="shared" ref="E77:W77" si="29">E72</f>
        <v>0</v>
      </c>
      <c r="F77" s="230">
        <f t="shared" si="29"/>
        <v>0</v>
      </c>
      <c r="G77" s="230">
        <f t="shared" si="29"/>
        <v>0</v>
      </c>
      <c r="H77" s="230">
        <f t="shared" si="29"/>
        <v>0</v>
      </c>
      <c r="I77" s="230">
        <f t="shared" si="29"/>
        <v>0</v>
      </c>
      <c r="J77" s="230">
        <f t="shared" si="29"/>
        <v>0</v>
      </c>
      <c r="K77" s="230">
        <f t="shared" si="29"/>
        <v>0</v>
      </c>
      <c r="L77" s="230">
        <f t="shared" si="29"/>
        <v>0</v>
      </c>
      <c r="M77" s="230">
        <f t="shared" si="29"/>
        <v>0</v>
      </c>
      <c r="N77" s="230">
        <f t="shared" si="29"/>
        <v>0</v>
      </c>
      <c r="O77" s="230">
        <f t="shared" si="29"/>
        <v>0</v>
      </c>
      <c r="P77" s="230">
        <f t="shared" si="29"/>
        <v>0</v>
      </c>
      <c r="Q77" s="230">
        <f t="shared" si="29"/>
        <v>0</v>
      </c>
      <c r="R77" s="230">
        <f t="shared" si="29"/>
        <v>0</v>
      </c>
      <c r="S77" s="230">
        <f t="shared" si="29"/>
        <v>0</v>
      </c>
      <c r="T77" s="230">
        <f t="shared" si="29"/>
        <v>0</v>
      </c>
      <c r="U77" s="230">
        <f t="shared" si="29"/>
        <v>0</v>
      </c>
      <c r="V77" s="230">
        <f t="shared" si="29"/>
        <v>0</v>
      </c>
      <c r="W77" s="231">
        <f t="shared" si="29"/>
        <v>0</v>
      </c>
    </row>
    <row r="78" spans="2:26" s="23" customFormat="1" ht="15.75" thickBot="1" x14ac:dyDescent="0.3">
      <c r="B78" s="252" t="s">
        <v>87</v>
      </c>
      <c r="C78" s="253" t="str">
        <f>Currency</f>
        <v>EUR</v>
      </c>
      <c r="D78" s="254">
        <f>SUM(D76:D77)</f>
        <v>1769092.5</v>
      </c>
      <c r="E78" s="254">
        <f t="shared" ref="E78:W78" si="30">SUM(E76:E77)</f>
        <v>0</v>
      </c>
      <c r="F78" s="254">
        <f t="shared" si="30"/>
        <v>0</v>
      </c>
      <c r="G78" s="254">
        <f t="shared" si="30"/>
        <v>0</v>
      </c>
      <c r="H78" s="254">
        <f t="shared" si="30"/>
        <v>0</v>
      </c>
      <c r="I78" s="254">
        <f t="shared" si="30"/>
        <v>0</v>
      </c>
      <c r="J78" s="254">
        <f t="shared" si="30"/>
        <v>0</v>
      </c>
      <c r="K78" s="254">
        <f t="shared" si="30"/>
        <v>0</v>
      </c>
      <c r="L78" s="254">
        <f t="shared" si="30"/>
        <v>0</v>
      </c>
      <c r="M78" s="254">
        <f t="shared" si="30"/>
        <v>0</v>
      </c>
      <c r="N78" s="254">
        <f t="shared" si="30"/>
        <v>0</v>
      </c>
      <c r="O78" s="254">
        <f t="shared" si="30"/>
        <v>0</v>
      </c>
      <c r="P78" s="254">
        <f t="shared" si="30"/>
        <v>0</v>
      </c>
      <c r="Q78" s="254">
        <f t="shared" si="30"/>
        <v>0</v>
      </c>
      <c r="R78" s="254">
        <f t="shared" si="30"/>
        <v>0</v>
      </c>
      <c r="S78" s="254">
        <f t="shared" si="30"/>
        <v>0</v>
      </c>
      <c r="T78" s="254">
        <f t="shared" si="30"/>
        <v>0</v>
      </c>
      <c r="U78" s="254">
        <f t="shared" si="30"/>
        <v>0</v>
      </c>
      <c r="V78" s="254">
        <f t="shared" si="30"/>
        <v>0</v>
      </c>
      <c r="W78" s="255">
        <f t="shared" si="30"/>
        <v>0</v>
      </c>
    </row>
    <row r="79" spans="2:26" s="23" customFormat="1" ht="15.75" thickBot="1" x14ac:dyDescent="0.3">
      <c r="B79" s="256" t="s">
        <v>88</v>
      </c>
      <c r="C79" s="257" t="str">
        <f>Currency</f>
        <v>EUR</v>
      </c>
      <c r="D79" s="258">
        <f>D78-D66-D38</f>
        <v>1769092.5</v>
      </c>
      <c r="E79" s="258">
        <f>E78-E66-E38</f>
        <v>0</v>
      </c>
      <c r="F79" s="258">
        <f t="shared" ref="F79:W79" si="31">F78-F66-F38</f>
        <v>0</v>
      </c>
      <c r="G79" s="258">
        <f t="shared" si="31"/>
        <v>0</v>
      </c>
      <c r="H79" s="258">
        <f t="shared" si="31"/>
        <v>0</v>
      </c>
      <c r="I79" s="258">
        <f t="shared" si="31"/>
        <v>0</v>
      </c>
      <c r="J79" s="258">
        <f t="shared" si="31"/>
        <v>0</v>
      </c>
      <c r="K79" s="258">
        <f t="shared" si="31"/>
        <v>0</v>
      </c>
      <c r="L79" s="258">
        <f t="shared" si="31"/>
        <v>0</v>
      </c>
      <c r="M79" s="258">
        <f t="shared" si="31"/>
        <v>0</v>
      </c>
      <c r="N79" s="258">
        <f t="shared" si="31"/>
        <v>0</v>
      </c>
      <c r="O79" s="258">
        <f t="shared" si="31"/>
        <v>0</v>
      </c>
      <c r="P79" s="258">
        <f t="shared" si="31"/>
        <v>0</v>
      </c>
      <c r="Q79" s="258">
        <f t="shared" si="31"/>
        <v>0</v>
      </c>
      <c r="R79" s="258">
        <f t="shared" si="31"/>
        <v>0</v>
      </c>
      <c r="S79" s="258">
        <f t="shared" si="31"/>
        <v>0</v>
      </c>
      <c r="T79" s="258">
        <f t="shared" si="31"/>
        <v>0</v>
      </c>
      <c r="U79" s="258">
        <f t="shared" si="31"/>
        <v>0</v>
      </c>
      <c r="V79" s="258">
        <f t="shared" si="31"/>
        <v>0</v>
      </c>
      <c r="W79" s="258">
        <f t="shared" si="31"/>
        <v>0</v>
      </c>
    </row>
    <row r="80" spans="2:26" s="23" customFormat="1" ht="15" x14ac:dyDescent="0.25">
      <c r="B80" s="100"/>
      <c r="C80" s="101"/>
      <c r="D80" s="93"/>
      <c r="E80" s="93"/>
      <c r="F80" s="93"/>
      <c r="G80" s="93"/>
      <c r="H80" s="93"/>
      <c r="I80" s="93"/>
      <c r="J80" s="93"/>
      <c r="K80" s="93"/>
      <c r="L80" s="93"/>
      <c r="M80" s="93"/>
      <c r="N80" s="93"/>
      <c r="O80" s="93"/>
      <c r="P80" s="93"/>
      <c r="Q80" s="93"/>
      <c r="R80" s="93"/>
      <c r="S80" s="93"/>
      <c r="T80" s="93"/>
      <c r="U80" s="93"/>
      <c r="V80" s="93"/>
      <c r="W80" s="93"/>
    </row>
  </sheetData>
  <phoneticPr fontId="7" type="noConversion"/>
  <conditionalFormatting sqref="D21:Y45">
    <cfRule type="cellIs" dxfId="1" priority="5" operator="equal">
      <formula>0</formula>
    </cfRule>
  </conditionalFormatting>
  <conditionalFormatting sqref="D49:Y72">
    <cfRule type="cellIs" dxfId="0" priority="1" operator="equal">
      <formula>0</formula>
    </cfRule>
  </conditionalFormatting>
  <dataValidations count="1">
    <dataValidation type="list" showInputMessage="1" showErrorMessage="1" sqref="D14" xr:uid="{B4A4CF65-CED6-42BF-AF3A-6FC3A8CC9587}">
      <formula1>$B$4:$B$5</formula1>
    </dataValidation>
  </dataValidations>
  <pageMargins left="0.7" right="0.7" top="0.75" bottom="0.75" header="0.3" footer="0.3"/>
  <pageSetup paperSize="9" orientation="portrait" horizontalDpi="4294967293"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6400D-1B87-466F-B5E3-B9A7C8821705}">
  <sheetPr codeName="Sheet11">
    <tabColor theme="4" tint="0.39997558519241921"/>
  </sheetPr>
  <dimension ref="B1:F49"/>
  <sheetViews>
    <sheetView workbookViewId="0">
      <selection activeCell="B10" sqref="B10"/>
    </sheetView>
  </sheetViews>
  <sheetFormatPr defaultColWidth="8.5703125" defaultRowHeight="15" x14ac:dyDescent="0.25"/>
  <cols>
    <col min="1" max="1" width="3" style="41" customWidth="1"/>
    <col min="2" max="2" width="51" style="41" bestFit="1" customWidth="1"/>
    <col min="3" max="3" width="22" style="41" customWidth="1"/>
    <col min="4" max="4" width="13.42578125" style="41" customWidth="1"/>
    <col min="5" max="5" width="19.5703125" style="41" customWidth="1"/>
    <col min="6" max="6" width="20.140625" style="41" customWidth="1"/>
    <col min="7" max="8" width="8.5703125" style="41"/>
    <col min="9" max="9" width="8.85546875" style="41" bestFit="1" customWidth="1"/>
    <col min="10" max="10" width="12.5703125" style="41" bestFit="1" customWidth="1"/>
    <col min="11" max="19" width="12.140625" style="41" bestFit="1" customWidth="1"/>
    <col min="20" max="16384" width="8.5703125" style="41"/>
  </cols>
  <sheetData>
    <row r="1" spans="2:3" ht="18" customHeight="1" x14ac:dyDescent="0.3">
      <c r="B1" s="280"/>
      <c r="C1" s="281"/>
    </row>
    <row r="2" spans="2:3" ht="18" customHeight="1" x14ac:dyDescent="0.3">
      <c r="B2" s="104"/>
      <c r="C2" s="69"/>
    </row>
    <row r="3" spans="2:3" ht="18" customHeight="1" x14ac:dyDescent="0.3">
      <c r="B3" s="104"/>
      <c r="C3" s="69"/>
    </row>
    <row r="4" spans="2:3" ht="18" customHeight="1" thickBot="1" x14ac:dyDescent="0.35">
      <c r="B4" s="104"/>
      <c r="C4" s="69"/>
    </row>
    <row r="5" spans="2:3" ht="24.6" customHeight="1" thickBot="1" x14ac:dyDescent="0.3">
      <c r="B5" s="120" t="s">
        <v>89</v>
      </c>
      <c r="C5" s="116" t="str">
        <f>Currency</f>
        <v>EUR</v>
      </c>
    </row>
    <row r="6" spans="2:3" x14ac:dyDescent="0.25">
      <c r="B6" s="134" t="s">
        <v>90</v>
      </c>
      <c r="C6" s="135">
        <f>0.002*Dashboard!C20</f>
        <v>3538.1849999999999</v>
      </c>
    </row>
    <row r="7" spans="2:3" ht="15.75" thickBot="1" x14ac:dyDescent="0.3">
      <c r="B7" s="136" t="s">
        <v>91</v>
      </c>
      <c r="C7" s="137">
        <f>0.001*Dashboard!C20</f>
        <v>1769.0925</v>
      </c>
    </row>
    <row r="8" spans="2:3" ht="15.75" thickBot="1" x14ac:dyDescent="0.3">
      <c r="B8" s="138" t="s">
        <v>92</v>
      </c>
      <c r="C8" s="139">
        <f>SUM(C6:C7)</f>
        <v>5307.2775000000001</v>
      </c>
    </row>
    <row r="9" spans="2:3" ht="15.75" thickBot="1" x14ac:dyDescent="0.3">
      <c r="B9" s="70"/>
      <c r="C9" s="70"/>
    </row>
    <row r="10" spans="2:3" ht="21" customHeight="1" thickBot="1" x14ac:dyDescent="0.3">
      <c r="B10" s="140" t="s">
        <v>15</v>
      </c>
      <c r="C10" s="141">
        <f>Dashboard!C20</f>
        <v>1769092.5</v>
      </c>
    </row>
    <row r="49" spans="6:6" x14ac:dyDescent="0.25">
      <c r="F49" s="42"/>
    </row>
  </sheetData>
  <mergeCells count="1">
    <mergeCell ref="B1:C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B4E5C-BF21-4D96-A4D9-84C5059681D5}">
  <sheetPr codeName="Sheet12">
    <tabColor theme="4" tint="0.39997558519241921"/>
  </sheetPr>
  <dimension ref="B1:F50"/>
  <sheetViews>
    <sheetView workbookViewId="0">
      <selection activeCell="C13" sqref="C13"/>
    </sheetView>
  </sheetViews>
  <sheetFormatPr defaultColWidth="8.5703125" defaultRowHeight="15" x14ac:dyDescent="0.25"/>
  <cols>
    <col min="1" max="1" width="2.42578125" style="41" customWidth="1"/>
    <col min="2" max="2" width="50.85546875" style="41" customWidth="1"/>
    <col min="3" max="3" width="22" style="41" customWidth="1"/>
    <col min="4" max="4" width="13.42578125" style="41" customWidth="1"/>
    <col min="5" max="5" width="19.5703125" style="41" customWidth="1"/>
    <col min="6" max="6" width="20.140625" style="41" customWidth="1"/>
    <col min="7" max="8" width="8.5703125" style="41"/>
    <col min="9" max="9" width="8.85546875" style="41" bestFit="1" customWidth="1"/>
    <col min="10" max="10" width="12.5703125" style="41" bestFit="1" customWidth="1"/>
    <col min="11" max="19" width="12.140625" style="41" bestFit="1" customWidth="1"/>
    <col min="20" max="16384" width="8.5703125" style="41"/>
  </cols>
  <sheetData>
    <row r="1" spans="2:3" x14ac:dyDescent="0.25">
      <c r="B1" s="282"/>
      <c r="C1" s="283"/>
    </row>
    <row r="2" spans="2:3" x14ac:dyDescent="0.25">
      <c r="B2" s="52"/>
      <c r="C2" s="40"/>
    </row>
    <row r="3" spans="2:3" x14ac:dyDescent="0.25">
      <c r="B3" s="52"/>
      <c r="C3" s="40"/>
    </row>
    <row r="4" spans="2:3" x14ac:dyDescent="0.25">
      <c r="B4" s="52"/>
      <c r="C4" s="40"/>
    </row>
    <row r="5" spans="2:3" ht="19.350000000000001" customHeight="1" thickBot="1" x14ac:dyDescent="0.3">
      <c r="B5" s="52"/>
      <c r="C5" s="40"/>
    </row>
    <row r="6" spans="2:3" ht="15.75" thickBot="1" x14ac:dyDescent="0.3">
      <c r="B6" s="117" t="s">
        <v>89</v>
      </c>
      <c r="C6" s="116" t="str">
        <f>Currency</f>
        <v>EUR</v>
      </c>
    </row>
    <row r="7" spans="2:3" x14ac:dyDescent="0.25">
      <c r="B7" s="134" t="s">
        <v>93</v>
      </c>
      <c r="C7" s="142">
        <f>0.005*Dashboard!C20</f>
        <v>8845.4624999999996</v>
      </c>
    </row>
    <row r="8" spans="2:3" x14ac:dyDescent="0.25">
      <c r="B8" s="136" t="s">
        <v>90</v>
      </c>
      <c r="C8" s="143">
        <f>0.002*Dashboard!C20</f>
        <v>3538.1849999999999</v>
      </c>
    </row>
    <row r="9" spans="2:3" ht="15.75" thickBot="1" x14ac:dyDescent="0.3">
      <c r="B9" s="144" t="s">
        <v>91</v>
      </c>
      <c r="C9" s="145">
        <f>0.001*Dashboard!C20</f>
        <v>1769.0925</v>
      </c>
    </row>
    <row r="10" spans="2:3" ht="15.75" thickBot="1" x14ac:dyDescent="0.3">
      <c r="B10" s="146" t="s">
        <v>94</v>
      </c>
      <c r="C10" s="147">
        <f>SUM(C7:C9)</f>
        <v>14152.74</v>
      </c>
    </row>
    <row r="11" spans="2:3" ht="15.75" thickBot="1" x14ac:dyDescent="0.3">
      <c r="B11" s="70"/>
      <c r="C11" s="70"/>
    </row>
    <row r="12" spans="2:3" ht="21.6" customHeight="1" thickBot="1" x14ac:dyDescent="0.3">
      <c r="B12" s="148" t="s">
        <v>15</v>
      </c>
      <c r="C12" s="149">
        <f>Dashboard!C20</f>
        <v>1769092.5</v>
      </c>
    </row>
    <row r="13" spans="2:3" ht="22.7" customHeight="1" thickBot="1" x14ac:dyDescent="0.3">
      <c r="B13" s="242" t="s">
        <v>95</v>
      </c>
      <c r="C13" s="110">
        <f>INPUTS!D12</f>
        <v>0.5</v>
      </c>
    </row>
    <row r="14" spans="2:3" ht="23.45" customHeight="1" thickBot="1" x14ac:dyDescent="0.3">
      <c r="B14" s="111" t="s">
        <v>96</v>
      </c>
      <c r="C14" s="109">
        <f>C12-SUM(INPUTS!D76:W76)*'Own funds + Grant'!C13</f>
        <v>909546.25</v>
      </c>
    </row>
    <row r="50" spans="6:6" x14ac:dyDescent="0.25">
      <c r="F50" s="42"/>
    </row>
  </sheetData>
  <mergeCells count="1">
    <mergeCell ref="B1:C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E516A-D5EB-4C1A-A15E-4A16DE4470F2}">
  <sheetPr codeName="Sheet13">
    <tabColor theme="4" tint="0.39997558519241921"/>
  </sheetPr>
  <dimension ref="A1:X21"/>
  <sheetViews>
    <sheetView workbookViewId="0">
      <selection activeCell="J28" sqref="J28"/>
    </sheetView>
  </sheetViews>
  <sheetFormatPr defaultColWidth="8.5703125" defaultRowHeight="15" x14ac:dyDescent="0.25"/>
  <cols>
    <col min="1" max="1" width="2.42578125" style="41" customWidth="1"/>
    <col min="2" max="2" width="23.85546875" style="41" customWidth="1"/>
    <col min="3" max="3" width="15" style="41" customWidth="1"/>
    <col min="4" max="4" width="10.85546875" style="41" customWidth="1"/>
    <col min="5" max="5" width="15.5703125" style="41" customWidth="1"/>
    <col min="6" max="6" width="10.85546875" style="41" customWidth="1"/>
    <col min="7" max="7" width="8.5703125" style="41"/>
    <col min="8" max="9" width="9.85546875" style="41" bestFit="1" customWidth="1"/>
    <col min="10" max="10" width="12.5703125" style="41" bestFit="1" customWidth="1"/>
    <col min="11" max="19" width="12.140625" style="41" bestFit="1" customWidth="1"/>
    <col min="20" max="16384" width="8.5703125" style="41"/>
  </cols>
  <sheetData>
    <row r="1" spans="1:19" ht="27" customHeight="1" x14ac:dyDescent="0.25">
      <c r="A1" s="38"/>
      <c r="B1" s="284"/>
      <c r="C1" s="283"/>
      <c r="D1" s="283"/>
      <c r="E1" s="283"/>
      <c r="F1" s="283"/>
    </row>
    <row r="2" spans="1:19" ht="27" customHeight="1" x14ac:dyDescent="0.25">
      <c r="A2" s="38"/>
      <c r="B2" s="52"/>
      <c r="C2" s="40"/>
      <c r="D2" s="40"/>
      <c r="E2" s="40"/>
      <c r="F2" s="40"/>
    </row>
    <row r="3" spans="1:19" ht="27" customHeight="1" thickBot="1" x14ac:dyDescent="0.3">
      <c r="A3" s="38"/>
      <c r="B3" s="52"/>
      <c r="C3" s="40"/>
      <c r="D3" s="40"/>
      <c r="E3" s="40"/>
      <c r="F3" s="40"/>
    </row>
    <row r="4" spans="1:19" ht="15.75" thickBot="1" x14ac:dyDescent="0.3">
      <c r="B4" s="117" t="s">
        <v>89</v>
      </c>
      <c r="C4" s="116" t="str">
        <f>Currency</f>
        <v>EUR</v>
      </c>
    </row>
    <row r="5" spans="1:19" x14ac:dyDescent="0.25">
      <c r="B5" s="134" t="s">
        <v>97</v>
      </c>
      <c r="C5" s="135">
        <f>0.002*C10</f>
        <v>3538.1849999999999</v>
      </c>
    </row>
    <row r="6" spans="1:19" ht="15.75" thickBot="1" x14ac:dyDescent="0.3">
      <c r="B6" s="144" t="s">
        <v>91</v>
      </c>
      <c r="C6" s="150">
        <f>0.001*C10</f>
        <v>1769.0925</v>
      </c>
    </row>
    <row r="7" spans="1:19" ht="15.75" thickBot="1" x14ac:dyDescent="0.3">
      <c r="B7" s="138" t="s">
        <v>94</v>
      </c>
      <c r="C7" s="139">
        <f>SUM(C5:C6)</f>
        <v>5307.2775000000001</v>
      </c>
    </row>
    <row r="8" spans="1:19" ht="15.75" thickBot="1" x14ac:dyDescent="0.3"/>
    <row r="9" spans="1:19" ht="15.75" thickBot="1" x14ac:dyDescent="0.3">
      <c r="B9" s="120" t="s">
        <v>98</v>
      </c>
      <c r="C9" s="116" t="str">
        <f>Currency</f>
        <v>EUR</v>
      </c>
      <c r="D9" s="43"/>
      <c r="E9" s="44"/>
      <c r="F9" s="45"/>
      <c r="J9" s="46"/>
      <c r="K9" s="46"/>
      <c r="L9" s="46"/>
      <c r="M9" s="46"/>
      <c r="N9" s="46"/>
      <c r="O9" s="46"/>
      <c r="P9" s="46"/>
      <c r="Q9" s="46"/>
      <c r="R9" s="46"/>
      <c r="S9" s="46"/>
    </row>
    <row r="10" spans="1:19" x14ac:dyDescent="0.25">
      <c r="B10" s="151" t="s">
        <v>99</v>
      </c>
      <c r="C10" s="152">
        <f>Dashboard!C20</f>
        <v>1769092.5</v>
      </c>
      <c r="D10" s="43"/>
      <c r="E10" s="158" t="s">
        <v>100</v>
      </c>
      <c r="F10" s="159">
        <f>(C13*C12)-C10</f>
        <v>521963.22287077131</v>
      </c>
      <c r="J10" s="46"/>
      <c r="K10" s="46"/>
      <c r="L10" s="46"/>
      <c r="M10" s="46"/>
      <c r="N10" s="46"/>
      <c r="O10" s="46"/>
      <c r="P10" s="46"/>
      <c r="Q10" s="46"/>
      <c r="R10" s="46"/>
      <c r="S10" s="46"/>
    </row>
    <row r="11" spans="1:19" x14ac:dyDescent="0.25">
      <c r="B11" s="153" t="s">
        <v>101</v>
      </c>
      <c r="C11" s="154">
        <v>0.05</v>
      </c>
      <c r="D11" s="43"/>
      <c r="E11" s="160" t="s">
        <v>102</v>
      </c>
      <c r="F11" s="161">
        <f>C10</f>
        <v>1769092.5</v>
      </c>
      <c r="J11" s="46"/>
      <c r="K11" s="46"/>
      <c r="L11" s="46"/>
      <c r="M11" s="46"/>
      <c r="N11" s="46"/>
      <c r="O11" s="46"/>
      <c r="P11" s="46"/>
      <c r="Q11" s="46"/>
      <c r="R11" s="46"/>
      <c r="S11" s="46"/>
    </row>
    <row r="12" spans="1:19" ht="15.75" thickBot="1" x14ac:dyDescent="0.3">
      <c r="B12" s="153" t="s">
        <v>103</v>
      </c>
      <c r="C12" s="155">
        <v>10</v>
      </c>
      <c r="D12" s="43"/>
      <c r="E12" s="162" t="s">
        <v>104</v>
      </c>
      <c r="F12" s="163">
        <f>SUM(F10:F11)</f>
        <v>2291055.7228707713</v>
      </c>
    </row>
    <row r="13" spans="1:19" ht="15.75" thickBot="1" x14ac:dyDescent="0.3">
      <c r="B13" s="156" t="s">
        <v>105</v>
      </c>
      <c r="C13" s="157">
        <f>PMT(C11,C12,-C10)</f>
        <v>229105.57228707714</v>
      </c>
      <c r="D13" s="43"/>
      <c r="E13" s="164" t="s">
        <v>106</v>
      </c>
      <c r="F13" s="165">
        <f>C13*C12-F12</f>
        <v>0</v>
      </c>
    </row>
    <row r="14" spans="1:19" x14ac:dyDescent="0.25">
      <c r="D14" s="43"/>
      <c r="E14" s="43"/>
      <c r="F14" s="43"/>
    </row>
    <row r="15" spans="1:19" x14ac:dyDescent="0.25">
      <c r="B15" s="43"/>
      <c r="C15" s="47"/>
      <c r="D15" s="43"/>
      <c r="E15" s="43"/>
      <c r="F15" s="43"/>
    </row>
    <row r="16" spans="1:19" ht="12.6" customHeight="1" thickBot="1" x14ac:dyDescent="0.3"/>
    <row r="17" spans="1:24" s="38" customFormat="1" ht="15.75" thickBot="1" x14ac:dyDescent="0.3">
      <c r="A17" s="41"/>
      <c r="B17" s="128" t="s">
        <v>107</v>
      </c>
      <c r="C17" s="67"/>
      <c r="D17" s="67">
        <v>1</v>
      </c>
      <c r="E17" s="67">
        <f>D17+1</f>
        <v>2</v>
      </c>
      <c r="F17" s="67">
        <f t="shared" ref="F17:V17" si="0">E17+1</f>
        <v>3</v>
      </c>
      <c r="G17" s="67">
        <f t="shared" si="0"/>
        <v>4</v>
      </c>
      <c r="H17" s="67">
        <f t="shared" si="0"/>
        <v>5</v>
      </c>
      <c r="I17" s="67">
        <f t="shared" si="0"/>
        <v>6</v>
      </c>
      <c r="J17" s="67">
        <f t="shared" si="0"/>
        <v>7</v>
      </c>
      <c r="K17" s="67">
        <f t="shared" si="0"/>
        <v>8</v>
      </c>
      <c r="L17" s="67">
        <f t="shared" si="0"/>
        <v>9</v>
      </c>
      <c r="M17" s="67">
        <f t="shared" si="0"/>
        <v>10</v>
      </c>
      <c r="N17" s="67">
        <f t="shared" si="0"/>
        <v>11</v>
      </c>
      <c r="O17" s="67">
        <f t="shared" si="0"/>
        <v>12</v>
      </c>
      <c r="P17" s="67">
        <f t="shared" si="0"/>
        <v>13</v>
      </c>
      <c r="Q17" s="67">
        <f t="shared" si="0"/>
        <v>14</v>
      </c>
      <c r="R17" s="67">
        <f t="shared" si="0"/>
        <v>15</v>
      </c>
      <c r="S17" s="67">
        <f t="shared" si="0"/>
        <v>16</v>
      </c>
      <c r="T17" s="67">
        <f t="shared" si="0"/>
        <v>17</v>
      </c>
      <c r="U17" s="67">
        <f t="shared" si="0"/>
        <v>18</v>
      </c>
      <c r="V17" s="67">
        <f t="shared" si="0"/>
        <v>19</v>
      </c>
      <c r="W17" s="68">
        <f>V17+1</f>
        <v>20</v>
      </c>
    </row>
    <row r="18" spans="1:24" s="38" customFormat="1" x14ac:dyDescent="0.25">
      <c r="A18" s="39"/>
      <c r="B18" s="166" t="s">
        <v>108</v>
      </c>
      <c r="C18" s="94" t="str">
        <f>Currency</f>
        <v>EUR</v>
      </c>
      <c r="D18" s="167">
        <f>IF($C$12&gt;=D17,(($C$13*$C$12)-$C$10)/$C$12,0)</f>
        <v>52196.322287077128</v>
      </c>
      <c r="E18" s="167">
        <f t="shared" ref="E18:W18" si="1">IF($C$12&gt;=E17,(($C$13*$C$12)-$C$10)/$C$12,0)</f>
        <v>52196.322287077128</v>
      </c>
      <c r="F18" s="167">
        <f t="shared" si="1"/>
        <v>52196.322287077128</v>
      </c>
      <c r="G18" s="167">
        <f t="shared" si="1"/>
        <v>52196.322287077128</v>
      </c>
      <c r="H18" s="167">
        <f t="shared" si="1"/>
        <v>52196.322287077128</v>
      </c>
      <c r="I18" s="167">
        <f t="shared" si="1"/>
        <v>52196.322287077128</v>
      </c>
      <c r="J18" s="167">
        <f t="shared" si="1"/>
        <v>52196.322287077128</v>
      </c>
      <c r="K18" s="167">
        <f t="shared" si="1"/>
        <v>52196.322287077128</v>
      </c>
      <c r="L18" s="167">
        <f t="shared" si="1"/>
        <v>52196.322287077128</v>
      </c>
      <c r="M18" s="167">
        <f t="shared" si="1"/>
        <v>52196.322287077128</v>
      </c>
      <c r="N18" s="167">
        <f t="shared" si="1"/>
        <v>0</v>
      </c>
      <c r="O18" s="167">
        <f t="shared" si="1"/>
        <v>0</v>
      </c>
      <c r="P18" s="167">
        <f t="shared" si="1"/>
        <v>0</v>
      </c>
      <c r="Q18" s="167">
        <f t="shared" si="1"/>
        <v>0</v>
      </c>
      <c r="R18" s="167">
        <f t="shared" si="1"/>
        <v>0</v>
      </c>
      <c r="S18" s="167">
        <f t="shared" si="1"/>
        <v>0</v>
      </c>
      <c r="T18" s="167">
        <f t="shared" si="1"/>
        <v>0</v>
      </c>
      <c r="U18" s="167">
        <f t="shared" si="1"/>
        <v>0</v>
      </c>
      <c r="V18" s="167">
        <f t="shared" si="1"/>
        <v>0</v>
      </c>
      <c r="W18" s="168">
        <f t="shared" si="1"/>
        <v>0</v>
      </c>
    </row>
    <row r="19" spans="1:24" s="38" customFormat="1" x14ac:dyDescent="0.25">
      <c r="A19" s="39"/>
      <c r="B19" s="166" t="s">
        <v>109</v>
      </c>
      <c r="C19" s="94" t="str">
        <f>Currency</f>
        <v>EUR</v>
      </c>
      <c r="D19" s="169">
        <f>IF($C$12&gt;=D17,$C$10/($C$12),0)</f>
        <v>176909.25</v>
      </c>
      <c r="E19" s="169">
        <f t="shared" ref="E19:W19" si="2">IF($C$12&gt;=E17,$C$10/($C$12),0)</f>
        <v>176909.25</v>
      </c>
      <c r="F19" s="169">
        <f t="shared" si="2"/>
        <v>176909.25</v>
      </c>
      <c r="G19" s="169">
        <f t="shared" si="2"/>
        <v>176909.25</v>
      </c>
      <c r="H19" s="169">
        <f t="shared" si="2"/>
        <v>176909.25</v>
      </c>
      <c r="I19" s="169">
        <f t="shared" si="2"/>
        <v>176909.25</v>
      </c>
      <c r="J19" s="169">
        <f t="shared" si="2"/>
        <v>176909.25</v>
      </c>
      <c r="K19" s="169">
        <f t="shared" si="2"/>
        <v>176909.25</v>
      </c>
      <c r="L19" s="169">
        <f t="shared" si="2"/>
        <v>176909.25</v>
      </c>
      <c r="M19" s="169">
        <f t="shared" si="2"/>
        <v>176909.25</v>
      </c>
      <c r="N19" s="169">
        <f t="shared" si="2"/>
        <v>0</v>
      </c>
      <c r="O19" s="169">
        <f t="shared" si="2"/>
        <v>0</v>
      </c>
      <c r="P19" s="169">
        <f t="shared" si="2"/>
        <v>0</v>
      </c>
      <c r="Q19" s="169">
        <f t="shared" si="2"/>
        <v>0</v>
      </c>
      <c r="R19" s="169">
        <f t="shared" si="2"/>
        <v>0</v>
      </c>
      <c r="S19" s="169">
        <f t="shared" si="2"/>
        <v>0</v>
      </c>
      <c r="T19" s="169">
        <f t="shared" si="2"/>
        <v>0</v>
      </c>
      <c r="U19" s="169">
        <f t="shared" si="2"/>
        <v>0</v>
      </c>
      <c r="V19" s="169">
        <f t="shared" si="2"/>
        <v>0</v>
      </c>
      <c r="W19" s="170">
        <f t="shared" si="2"/>
        <v>0</v>
      </c>
      <c r="X19" s="48"/>
    </row>
    <row r="20" spans="1:24" s="38" customFormat="1" ht="15.75" thickBot="1" x14ac:dyDescent="0.3">
      <c r="A20" s="39"/>
      <c r="B20" s="166" t="s">
        <v>89</v>
      </c>
      <c r="C20" s="94" t="str">
        <f>Currency</f>
        <v>EUR</v>
      </c>
      <c r="D20" s="171">
        <f>C7</f>
        <v>5307.2775000000001</v>
      </c>
      <c r="E20" s="171"/>
      <c r="F20" s="171"/>
      <c r="G20" s="171"/>
      <c r="H20" s="171"/>
      <c r="I20" s="171"/>
      <c r="J20" s="171"/>
      <c r="K20" s="171"/>
      <c r="L20" s="171"/>
      <c r="M20" s="171"/>
      <c r="N20" s="171"/>
      <c r="O20" s="171"/>
      <c r="P20" s="171"/>
      <c r="Q20" s="171"/>
      <c r="R20" s="171"/>
      <c r="S20" s="171"/>
      <c r="T20" s="171"/>
      <c r="U20" s="171"/>
      <c r="V20" s="171"/>
      <c r="W20" s="172"/>
      <c r="X20" s="48"/>
    </row>
    <row r="21" spans="1:24" s="42" customFormat="1" ht="15.75" thickBot="1" x14ac:dyDescent="0.3">
      <c r="A21" s="41"/>
      <c r="B21" s="173" t="s">
        <v>104</v>
      </c>
      <c r="C21" s="174" t="str">
        <f>Currency</f>
        <v>EUR</v>
      </c>
      <c r="D21" s="175">
        <f>D18+D19+D20</f>
        <v>234412.84978707714</v>
      </c>
      <c r="E21" s="175">
        <f t="shared" ref="E21:W21" si="3">E18+E19+E20</f>
        <v>229105.57228707714</v>
      </c>
      <c r="F21" s="175">
        <f t="shared" si="3"/>
        <v>229105.57228707714</v>
      </c>
      <c r="G21" s="175">
        <f t="shared" si="3"/>
        <v>229105.57228707714</v>
      </c>
      <c r="H21" s="175">
        <f t="shared" si="3"/>
        <v>229105.57228707714</v>
      </c>
      <c r="I21" s="175">
        <f t="shared" si="3"/>
        <v>229105.57228707714</v>
      </c>
      <c r="J21" s="175">
        <f t="shared" si="3"/>
        <v>229105.57228707714</v>
      </c>
      <c r="K21" s="175">
        <f t="shared" si="3"/>
        <v>229105.57228707714</v>
      </c>
      <c r="L21" s="175">
        <f t="shared" si="3"/>
        <v>229105.57228707714</v>
      </c>
      <c r="M21" s="175">
        <f t="shared" si="3"/>
        <v>229105.57228707714</v>
      </c>
      <c r="N21" s="175">
        <f t="shared" si="3"/>
        <v>0</v>
      </c>
      <c r="O21" s="175">
        <f t="shared" si="3"/>
        <v>0</v>
      </c>
      <c r="P21" s="175">
        <f t="shared" si="3"/>
        <v>0</v>
      </c>
      <c r="Q21" s="175">
        <f t="shared" si="3"/>
        <v>0</v>
      </c>
      <c r="R21" s="175">
        <f t="shared" si="3"/>
        <v>0</v>
      </c>
      <c r="S21" s="175">
        <f t="shared" si="3"/>
        <v>0</v>
      </c>
      <c r="T21" s="175">
        <f t="shared" si="3"/>
        <v>0</v>
      </c>
      <c r="U21" s="175">
        <f t="shared" si="3"/>
        <v>0</v>
      </c>
      <c r="V21" s="175">
        <f t="shared" si="3"/>
        <v>0</v>
      </c>
      <c r="W21" s="176">
        <f t="shared" si="3"/>
        <v>0</v>
      </c>
      <c r="X21" s="48"/>
    </row>
  </sheetData>
  <mergeCells count="1">
    <mergeCell ref="B1:F1"/>
  </mergeCells>
  <pageMargins left="0.7" right="0.7" top="0.75" bottom="0.75" header="0.3" footer="0.3"/>
  <pageSetup paperSize="9" orientation="portrait" horizontalDpi="4294967293"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D903A-EA41-4BEA-8BA9-C3E1D0F12CD3}">
  <sheetPr codeName="Sheet14">
    <tabColor theme="4" tint="0.39997558519241921"/>
  </sheetPr>
  <dimension ref="A1:X24"/>
  <sheetViews>
    <sheetView workbookViewId="0">
      <selection activeCell="C12" sqref="C12"/>
    </sheetView>
  </sheetViews>
  <sheetFormatPr defaultColWidth="8.5703125" defaultRowHeight="15" x14ac:dyDescent="0.25"/>
  <cols>
    <col min="1" max="1" width="2.42578125" style="41" customWidth="1"/>
    <col min="2" max="2" width="32.42578125" style="41" customWidth="1"/>
    <col min="3" max="3" width="22" style="41" customWidth="1"/>
    <col min="4" max="4" width="14.140625" style="41" bestFit="1" customWidth="1"/>
    <col min="5" max="5" width="19.5703125" style="41" customWidth="1"/>
    <col min="6" max="6" width="20.140625" style="41" customWidth="1"/>
    <col min="7" max="8" width="8.5703125" style="41"/>
    <col min="9" max="9" width="8.85546875" style="41" bestFit="1" customWidth="1"/>
    <col min="10" max="10" width="12.5703125" style="41" bestFit="1" customWidth="1"/>
    <col min="11" max="19" width="12.140625" style="41" bestFit="1" customWidth="1"/>
    <col min="20" max="16384" width="8.5703125" style="41"/>
  </cols>
  <sheetData>
    <row r="1" spans="2:19" ht="17.45" customHeight="1" x14ac:dyDescent="0.25">
      <c r="B1" s="50"/>
      <c r="C1" s="51"/>
      <c r="D1" s="51"/>
      <c r="E1" s="51"/>
      <c r="F1" s="51"/>
    </row>
    <row r="2" spans="2:19" ht="17.45" customHeight="1" x14ac:dyDescent="0.25">
      <c r="B2" s="50"/>
      <c r="C2" s="51"/>
      <c r="D2" s="51"/>
      <c r="E2" s="51"/>
      <c r="F2" s="51"/>
    </row>
    <row r="3" spans="2:19" ht="17.45" customHeight="1" x14ac:dyDescent="0.25">
      <c r="B3" s="50"/>
      <c r="C3" s="51"/>
      <c r="D3" s="51"/>
      <c r="E3" s="51"/>
      <c r="F3" s="51"/>
    </row>
    <row r="4" spans="2:19" ht="17.45" customHeight="1" thickBot="1" x14ac:dyDescent="0.3">
      <c r="B4" s="50"/>
      <c r="C4" s="51"/>
      <c r="D4" s="51"/>
      <c r="E4" s="51"/>
      <c r="F4" s="51"/>
    </row>
    <row r="5" spans="2:19" ht="15.75" thickBot="1" x14ac:dyDescent="0.3">
      <c r="B5" s="117" t="s">
        <v>89</v>
      </c>
      <c r="C5" s="116" t="str">
        <f>Currency</f>
        <v>EUR</v>
      </c>
    </row>
    <row r="6" spans="2:19" x14ac:dyDescent="0.25">
      <c r="B6" s="134" t="s">
        <v>97</v>
      </c>
      <c r="C6" s="135">
        <f>0.001*C12</f>
        <v>909.54624999999999</v>
      </c>
    </row>
    <row r="7" spans="2:19" x14ac:dyDescent="0.25">
      <c r="B7" s="136" t="s">
        <v>93</v>
      </c>
      <c r="C7" s="137">
        <f>Dashboard!C20*0.01</f>
        <v>17690.924999999999</v>
      </c>
    </row>
    <row r="8" spans="2:19" ht="15.75" thickBot="1" x14ac:dyDescent="0.3">
      <c r="B8" s="144" t="s">
        <v>91</v>
      </c>
      <c r="C8" s="150">
        <f>0.004*C12</f>
        <v>3638.1849999999999</v>
      </c>
    </row>
    <row r="9" spans="2:19" ht="15.75" thickBot="1" x14ac:dyDescent="0.3">
      <c r="B9" s="138" t="s">
        <v>94</v>
      </c>
      <c r="C9" s="139">
        <f>SUM(C6:C8)</f>
        <v>22238.65625</v>
      </c>
    </row>
    <row r="10" spans="2:19" ht="15.75" thickBot="1" x14ac:dyDescent="0.3">
      <c r="C10" s="49"/>
    </row>
    <row r="11" spans="2:19" ht="15.75" thickBot="1" x14ac:dyDescent="0.3">
      <c r="B11" s="120" t="s">
        <v>98</v>
      </c>
      <c r="C11" s="116" t="str">
        <f>Currency</f>
        <v>EUR</v>
      </c>
      <c r="D11" s="43"/>
      <c r="E11" s="44"/>
      <c r="F11" s="43"/>
      <c r="J11" s="46"/>
      <c r="K11" s="46"/>
      <c r="L11" s="46"/>
      <c r="M11" s="46"/>
      <c r="N11" s="46"/>
      <c r="O11" s="46"/>
      <c r="P11" s="46"/>
      <c r="Q11" s="46"/>
      <c r="R11" s="46"/>
      <c r="S11" s="46"/>
    </row>
    <row r="12" spans="2:19" x14ac:dyDescent="0.25">
      <c r="B12" s="151" t="s">
        <v>99</v>
      </c>
      <c r="C12" s="152">
        <f>Dashboard!C20-SUM(INPUTS!D76:W76)*'Loan + Grant'!C13</f>
        <v>909546.25</v>
      </c>
      <c r="D12" s="43"/>
      <c r="E12" s="180" t="s">
        <v>100</v>
      </c>
      <c r="F12" s="181">
        <f>(C16*C15)-C12</f>
        <v>268357.75517674978</v>
      </c>
      <c r="J12" s="46"/>
      <c r="K12" s="46"/>
      <c r="L12" s="46"/>
      <c r="M12" s="46"/>
      <c r="N12" s="46"/>
      <c r="O12" s="46"/>
      <c r="P12" s="46"/>
      <c r="Q12" s="46"/>
      <c r="R12" s="46"/>
      <c r="S12" s="46"/>
    </row>
    <row r="13" spans="2:19" ht="30" x14ac:dyDescent="0.25">
      <c r="B13" s="177" t="s">
        <v>95</v>
      </c>
      <c r="C13" s="178">
        <f>INPUTS!D12</f>
        <v>0.5</v>
      </c>
      <c r="D13" s="43"/>
      <c r="E13" s="182" t="s">
        <v>102</v>
      </c>
      <c r="F13" s="183">
        <f>C12</f>
        <v>909546.25</v>
      </c>
      <c r="J13" s="46"/>
      <c r="K13" s="46"/>
      <c r="L13" s="46"/>
      <c r="M13" s="46"/>
      <c r="N13" s="46"/>
      <c r="O13" s="46"/>
      <c r="P13" s="46"/>
      <c r="Q13" s="46"/>
      <c r="R13" s="46"/>
      <c r="S13" s="46"/>
    </row>
    <row r="14" spans="2:19" ht="15.75" thickBot="1" x14ac:dyDescent="0.3">
      <c r="B14" s="179" t="s">
        <v>101</v>
      </c>
      <c r="C14" s="155">
        <v>0.05</v>
      </c>
      <c r="D14" s="43"/>
      <c r="E14" s="184" t="s">
        <v>104</v>
      </c>
      <c r="F14" s="185">
        <f>F12+F13</f>
        <v>1177904.0051767498</v>
      </c>
      <c r="J14" s="46"/>
      <c r="K14" s="46"/>
      <c r="L14" s="46"/>
      <c r="M14" s="46"/>
      <c r="N14" s="46"/>
      <c r="O14" s="46"/>
      <c r="P14" s="46"/>
      <c r="Q14" s="46"/>
      <c r="R14" s="46"/>
      <c r="S14" s="46"/>
    </row>
    <row r="15" spans="2:19" ht="15.75" thickBot="1" x14ac:dyDescent="0.3">
      <c r="B15" s="153" t="s">
        <v>103</v>
      </c>
      <c r="C15" s="155">
        <v>10</v>
      </c>
      <c r="D15" s="43"/>
      <c r="E15" s="186" t="s">
        <v>106</v>
      </c>
      <c r="F15" s="187">
        <f>C16*C15-F14</f>
        <v>0</v>
      </c>
    </row>
    <row r="16" spans="2:19" ht="15.75" thickBot="1" x14ac:dyDescent="0.3">
      <c r="B16" s="156" t="s">
        <v>105</v>
      </c>
      <c r="C16" s="157">
        <f>PMT(C14,C15,-C12)</f>
        <v>117790.40051767498</v>
      </c>
      <c r="D16" s="43"/>
      <c r="E16" s="43"/>
      <c r="F16" s="43"/>
    </row>
    <row r="17" spans="1:24" x14ac:dyDescent="0.25">
      <c r="B17" s="43"/>
      <c r="C17" s="43"/>
      <c r="D17" s="43"/>
      <c r="E17" s="43"/>
      <c r="F17" s="43"/>
    </row>
    <row r="18" spans="1:24" x14ac:dyDescent="0.25">
      <c r="B18" s="43"/>
      <c r="C18" s="47"/>
      <c r="D18" s="43"/>
      <c r="F18" s="43"/>
    </row>
    <row r="19" spans="1:24" ht="15.75" thickBot="1" x14ac:dyDescent="0.3"/>
    <row r="20" spans="1:24" s="38" customFormat="1" ht="15.75" thickBot="1" x14ac:dyDescent="0.3">
      <c r="A20" s="41"/>
      <c r="B20" s="128" t="s">
        <v>107</v>
      </c>
      <c r="C20" s="67"/>
      <c r="D20" s="67">
        <v>1</v>
      </c>
      <c r="E20" s="67">
        <f>D20+1</f>
        <v>2</v>
      </c>
      <c r="F20" s="67">
        <f t="shared" ref="F20:V20" si="0">E20+1</f>
        <v>3</v>
      </c>
      <c r="G20" s="67">
        <f t="shared" si="0"/>
        <v>4</v>
      </c>
      <c r="H20" s="67">
        <f t="shared" si="0"/>
        <v>5</v>
      </c>
      <c r="I20" s="67">
        <f t="shared" si="0"/>
        <v>6</v>
      </c>
      <c r="J20" s="67">
        <f t="shared" si="0"/>
        <v>7</v>
      </c>
      <c r="K20" s="67">
        <f t="shared" si="0"/>
        <v>8</v>
      </c>
      <c r="L20" s="67">
        <f t="shared" si="0"/>
        <v>9</v>
      </c>
      <c r="M20" s="67">
        <f t="shared" si="0"/>
        <v>10</v>
      </c>
      <c r="N20" s="67">
        <f t="shared" si="0"/>
        <v>11</v>
      </c>
      <c r="O20" s="67">
        <f t="shared" si="0"/>
        <v>12</v>
      </c>
      <c r="P20" s="67">
        <f t="shared" si="0"/>
        <v>13</v>
      </c>
      <c r="Q20" s="67">
        <f t="shared" si="0"/>
        <v>14</v>
      </c>
      <c r="R20" s="67">
        <f t="shared" si="0"/>
        <v>15</v>
      </c>
      <c r="S20" s="67">
        <f t="shared" si="0"/>
        <v>16</v>
      </c>
      <c r="T20" s="67">
        <f t="shared" si="0"/>
        <v>17</v>
      </c>
      <c r="U20" s="67">
        <f t="shared" si="0"/>
        <v>18</v>
      </c>
      <c r="V20" s="67">
        <f t="shared" si="0"/>
        <v>19</v>
      </c>
      <c r="W20" s="68">
        <f>V20+1</f>
        <v>20</v>
      </c>
    </row>
    <row r="21" spans="1:24" s="38" customFormat="1" x14ac:dyDescent="0.25">
      <c r="A21" s="39"/>
      <c r="B21" s="166" t="s">
        <v>108</v>
      </c>
      <c r="C21" s="94" t="str">
        <f>Currency</f>
        <v>EUR</v>
      </c>
      <c r="D21" s="188">
        <f>IF($C$15&gt;=D20,(($C$16*$C$15)-$C$12)/$C$15,0)</f>
        <v>26835.775517674978</v>
      </c>
      <c r="E21" s="188">
        <f t="shared" ref="E21:W21" si="1">IF($C$15&gt;=E20,(($C$16*$C$15)-$C$12)/$C$15,0)</f>
        <v>26835.775517674978</v>
      </c>
      <c r="F21" s="188">
        <f t="shared" si="1"/>
        <v>26835.775517674978</v>
      </c>
      <c r="G21" s="188">
        <f t="shared" si="1"/>
        <v>26835.775517674978</v>
      </c>
      <c r="H21" s="188">
        <f t="shared" si="1"/>
        <v>26835.775517674978</v>
      </c>
      <c r="I21" s="188">
        <f t="shared" si="1"/>
        <v>26835.775517674978</v>
      </c>
      <c r="J21" s="188">
        <f t="shared" si="1"/>
        <v>26835.775517674978</v>
      </c>
      <c r="K21" s="188">
        <f t="shared" si="1"/>
        <v>26835.775517674978</v>
      </c>
      <c r="L21" s="188">
        <f t="shared" si="1"/>
        <v>26835.775517674978</v>
      </c>
      <c r="M21" s="188">
        <f t="shared" si="1"/>
        <v>26835.775517674978</v>
      </c>
      <c r="N21" s="188">
        <f t="shared" si="1"/>
        <v>0</v>
      </c>
      <c r="O21" s="188">
        <f t="shared" si="1"/>
        <v>0</v>
      </c>
      <c r="P21" s="188">
        <f t="shared" si="1"/>
        <v>0</v>
      </c>
      <c r="Q21" s="188">
        <f t="shared" si="1"/>
        <v>0</v>
      </c>
      <c r="R21" s="188">
        <f t="shared" si="1"/>
        <v>0</v>
      </c>
      <c r="S21" s="188">
        <f t="shared" si="1"/>
        <v>0</v>
      </c>
      <c r="T21" s="188">
        <f t="shared" si="1"/>
        <v>0</v>
      </c>
      <c r="U21" s="188">
        <f t="shared" si="1"/>
        <v>0</v>
      </c>
      <c r="V21" s="188">
        <f t="shared" si="1"/>
        <v>0</v>
      </c>
      <c r="W21" s="125">
        <f t="shared" si="1"/>
        <v>0</v>
      </c>
    </row>
    <row r="22" spans="1:24" s="38" customFormat="1" x14ac:dyDescent="0.25">
      <c r="A22" s="39"/>
      <c r="B22" s="166" t="s">
        <v>109</v>
      </c>
      <c r="C22" s="94" t="str">
        <f>Currency</f>
        <v>EUR</v>
      </c>
      <c r="D22" s="189">
        <f>IF($C$15&gt;=D20,$C$12/($C$15),0)</f>
        <v>90954.625</v>
      </c>
      <c r="E22" s="189">
        <f t="shared" ref="E22:W22" si="2">IF($C$15&gt;=E20,$C$12/($C$15),0)</f>
        <v>90954.625</v>
      </c>
      <c r="F22" s="189">
        <f t="shared" si="2"/>
        <v>90954.625</v>
      </c>
      <c r="G22" s="189">
        <f t="shared" si="2"/>
        <v>90954.625</v>
      </c>
      <c r="H22" s="189">
        <f t="shared" si="2"/>
        <v>90954.625</v>
      </c>
      <c r="I22" s="189">
        <f t="shared" si="2"/>
        <v>90954.625</v>
      </c>
      <c r="J22" s="189">
        <f t="shared" si="2"/>
        <v>90954.625</v>
      </c>
      <c r="K22" s="189">
        <f t="shared" si="2"/>
        <v>90954.625</v>
      </c>
      <c r="L22" s="189">
        <f t="shared" si="2"/>
        <v>90954.625</v>
      </c>
      <c r="M22" s="189">
        <f t="shared" si="2"/>
        <v>90954.625</v>
      </c>
      <c r="N22" s="189">
        <f t="shared" si="2"/>
        <v>0</v>
      </c>
      <c r="O22" s="189">
        <f t="shared" si="2"/>
        <v>0</v>
      </c>
      <c r="P22" s="189">
        <f t="shared" si="2"/>
        <v>0</v>
      </c>
      <c r="Q22" s="189">
        <f t="shared" si="2"/>
        <v>0</v>
      </c>
      <c r="R22" s="189">
        <f t="shared" si="2"/>
        <v>0</v>
      </c>
      <c r="S22" s="189">
        <f t="shared" si="2"/>
        <v>0</v>
      </c>
      <c r="T22" s="189">
        <f t="shared" si="2"/>
        <v>0</v>
      </c>
      <c r="U22" s="189">
        <f t="shared" si="2"/>
        <v>0</v>
      </c>
      <c r="V22" s="189">
        <f t="shared" si="2"/>
        <v>0</v>
      </c>
      <c r="W22" s="124">
        <f t="shared" si="2"/>
        <v>0</v>
      </c>
      <c r="X22" s="48"/>
    </row>
    <row r="23" spans="1:24" s="38" customFormat="1" ht="15.75" thickBot="1" x14ac:dyDescent="0.3">
      <c r="A23" s="39"/>
      <c r="B23" s="166" t="s">
        <v>89</v>
      </c>
      <c r="C23" s="94" t="str">
        <f>Currency</f>
        <v>EUR</v>
      </c>
      <c r="D23" s="190">
        <f>C9</f>
        <v>22238.65625</v>
      </c>
      <c r="E23" s="190"/>
      <c r="F23" s="190"/>
      <c r="G23" s="190"/>
      <c r="H23" s="190"/>
      <c r="I23" s="190"/>
      <c r="J23" s="190"/>
      <c r="K23" s="190"/>
      <c r="L23" s="190"/>
      <c r="M23" s="190"/>
      <c r="N23" s="190"/>
      <c r="O23" s="190"/>
      <c r="P23" s="190"/>
      <c r="Q23" s="190"/>
      <c r="R23" s="190"/>
      <c r="S23" s="190"/>
      <c r="T23" s="190"/>
      <c r="U23" s="190"/>
      <c r="V23" s="190"/>
      <c r="W23" s="129"/>
      <c r="X23" s="48"/>
    </row>
    <row r="24" spans="1:24" s="42" customFormat="1" ht="15.75" thickBot="1" x14ac:dyDescent="0.3">
      <c r="A24" s="41"/>
      <c r="B24" s="173" t="s">
        <v>104</v>
      </c>
      <c r="C24" s="174" t="str">
        <f>Currency</f>
        <v>EUR</v>
      </c>
      <c r="D24" s="191">
        <f>D21+D22+D23</f>
        <v>140029.05676767498</v>
      </c>
      <c r="E24" s="191">
        <f t="shared" ref="E24:W24" si="3">E21+E22+E23</f>
        <v>117790.40051767498</v>
      </c>
      <c r="F24" s="191">
        <f t="shared" si="3"/>
        <v>117790.40051767498</v>
      </c>
      <c r="G24" s="191">
        <f t="shared" si="3"/>
        <v>117790.40051767498</v>
      </c>
      <c r="H24" s="191">
        <f t="shared" si="3"/>
        <v>117790.40051767498</v>
      </c>
      <c r="I24" s="191">
        <f t="shared" si="3"/>
        <v>117790.40051767498</v>
      </c>
      <c r="J24" s="191">
        <f t="shared" si="3"/>
        <v>117790.40051767498</v>
      </c>
      <c r="K24" s="191">
        <f t="shared" si="3"/>
        <v>117790.40051767498</v>
      </c>
      <c r="L24" s="191">
        <f t="shared" si="3"/>
        <v>117790.40051767498</v>
      </c>
      <c r="M24" s="191">
        <f t="shared" si="3"/>
        <v>117790.40051767498</v>
      </c>
      <c r="N24" s="191">
        <f t="shared" si="3"/>
        <v>0</v>
      </c>
      <c r="O24" s="191">
        <f t="shared" si="3"/>
        <v>0</v>
      </c>
      <c r="P24" s="191">
        <f t="shared" si="3"/>
        <v>0</v>
      </c>
      <c r="Q24" s="191">
        <f t="shared" si="3"/>
        <v>0</v>
      </c>
      <c r="R24" s="191">
        <f t="shared" si="3"/>
        <v>0</v>
      </c>
      <c r="S24" s="191">
        <f t="shared" si="3"/>
        <v>0</v>
      </c>
      <c r="T24" s="191">
        <f t="shared" si="3"/>
        <v>0</v>
      </c>
      <c r="U24" s="191">
        <f t="shared" si="3"/>
        <v>0</v>
      </c>
      <c r="V24" s="191">
        <f t="shared" si="3"/>
        <v>0</v>
      </c>
      <c r="W24" s="127">
        <f t="shared" si="3"/>
        <v>0</v>
      </c>
      <c r="X24" s="48"/>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489FE-9F74-4F23-96A7-B7ADEA6592CE}">
  <sheetPr codeName="Sheet15">
    <tabColor theme="4" tint="0.39997558519241921"/>
  </sheetPr>
  <dimension ref="A5:X23"/>
  <sheetViews>
    <sheetView workbookViewId="0">
      <selection activeCell="J33" sqref="J33"/>
    </sheetView>
  </sheetViews>
  <sheetFormatPr defaultColWidth="8.5703125" defaultRowHeight="15" x14ac:dyDescent="0.25"/>
  <cols>
    <col min="1" max="1" width="3.140625" style="41" customWidth="1"/>
    <col min="2" max="2" width="20.140625" style="41" bestFit="1" customWidth="1"/>
    <col min="3" max="3" width="22" style="41" customWidth="1"/>
    <col min="4" max="4" width="13.42578125" style="41" customWidth="1"/>
    <col min="5" max="5" width="19.5703125" style="41" customWidth="1"/>
    <col min="6" max="6" width="20.140625" style="41" customWidth="1"/>
    <col min="7" max="8" width="8.5703125" style="41"/>
    <col min="9" max="9" width="8.85546875" style="41" bestFit="1" customWidth="1"/>
    <col min="10" max="10" width="12.5703125" style="41" bestFit="1" customWidth="1"/>
    <col min="11" max="19" width="12.140625" style="41" bestFit="1" customWidth="1"/>
    <col min="20" max="16384" width="8.5703125" style="41"/>
  </cols>
  <sheetData>
    <row r="5" spans="2:19" ht="21" customHeight="1" thickBot="1" x14ac:dyDescent="0.3">
      <c r="B5" s="285"/>
      <c r="C5" s="286"/>
      <c r="D5" s="286"/>
      <c r="E5" s="286"/>
      <c r="F5" s="286"/>
    </row>
    <row r="6" spans="2:19" ht="15.75" thickBot="1" x14ac:dyDescent="0.3">
      <c r="B6" s="117" t="s">
        <v>89</v>
      </c>
      <c r="C6" s="116" t="str">
        <f>Currency</f>
        <v>EUR</v>
      </c>
    </row>
    <row r="7" spans="2:19" x14ac:dyDescent="0.25">
      <c r="B7" s="134" t="s">
        <v>97</v>
      </c>
      <c r="C7" s="135">
        <f>0.002*C12</f>
        <v>3538.1849999999999</v>
      </c>
    </row>
    <row r="8" spans="2:19" ht="15.75" thickBot="1" x14ac:dyDescent="0.3">
      <c r="B8" s="144" t="s">
        <v>91</v>
      </c>
      <c r="C8" s="150">
        <f>0.005*C12</f>
        <v>8845.4624999999996</v>
      </c>
    </row>
    <row r="9" spans="2:19" ht="15.75" thickBot="1" x14ac:dyDescent="0.3">
      <c r="B9" s="138" t="s">
        <v>92</v>
      </c>
      <c r="C9" s="139">
        <f>SUM(C7:C8)</f>
        <v>12383.647499999999</v>
      </c>
    </row>
    <row r="10" spans="2:19" ht="15.75" thickBot="1" x14ac:dyDescent="0.3"/>
    <row r="11" spans="2:19" ht="15.75" thickBot="1" x14ac:dyDescent="0.3">
      <c r="B11" s="120" t="s">
        <v>98</v>
      </c>
      <c r="C11" s="116" t="str">
        <f>Currency</f>
        <v>EUR</v>
      </c>
      <c r="D11" s="43"/>
      <c r="E11" s="44"/>
      <c r="F11" s="43"/>
      <c r="J11" s="46"/>
      <c r="K11" s="46"/>
      <c r="L11" s="46"/>
      <c r="M11" s="46"/>
      <c r="N11" s="46"/>
      <c r="O11" s="46"/>
      <c r="P11" s="46"/>
      <c r="Q11" s="46"/>
      <c r="R11" s="46"/>
      <c r="S11" s="46"/>
    </row>
    <row r="12" spans="2:19" x14ac:dyDescent="0.25">
      <c r="B12" s="151" t="s">
        <v>99</v>
      </c>
      <c r="C12" s="152">
        <f>Dashboard!C20</f>
        <v>1769092.5</v>
      </c>
      <c r="D12" s="43"/>
      <c r="E12" s="180" t="s">
        <v>100</v>
      </c>
      <c r="F12" s="181">
        <f>(C15*C14)-C12</f>
        <v>466665.75702678692</v>
      </c>
      <c r="J12" s="46"/>
      <c r="K12" s="46"/>
      <c r="L12" s="46"/>
      <c r="M12" s="46"/>
      <c r="N12" s="46"/>
      <c r="O12" s="46"/>
      <c r="P12" s="46"/>
      <c r="Q12" s="46"/>
      <c r="R12" s="46"/>
      <c r="S12" s="46"/>
    </row>
    <row r="13" spans="2:19" x14ac:dyDescent="0.25">
      <c r="B13" s="153" t="s">
        <v>101</v>
      </c>
      <c r="C13" s="192">
        <v>4.4999999999999998E-2</v>
      </c>
      <c r="D13" s="43"/>
      <c r="E13" s="193" t="s">
        <v>102</v>
      </c>
      <c r="F13" s="194">
        <f>C12</f>
        <v>1769092.5</v>
      </c>
      <c r="J13" s="46"/>
      <c r="K13" s="46"/>
      <c r="L13" s="46"/>
      <c r="M13" s="46"/>
      <c r="N13" s="46"/>
      <c r="O13" s="46"/>
      <c r="P13" s="46"/>
      <c r="Q13" s="46"/>
      <c r="R13" s="46"/>
      <c r="S13" s="46"/>
    </row>
    <row r="14" spans="2:19" ht="15.75" thickBot="1" x14ac:dyDescent="0.3">
      <c r="B14" s="153" t="s">
        <v>103</v>
      </c>
      <c r="C14" s="155">
        <v>10</v>
      </c>
      <c r="D14" s="43"/>
      <c r="E14" s="184" t="s">
        <v>104</v>
      </c>
      <c r="F14" s="185">
        <f>SUM(F12:F13)</f>
        <v>2235758.2570267869</v>
      </c>
    </row>
    <row r="15" spans="2:19" ht="15.75" thickBot="1" x14ac:dyDescent="0.3">
      <c r="B15" s="156" t="s">
        <v>105</v>
      </c>
      <c r="C15" s="157">
        <f>PMT(C13,C14,-C12)</f>
        <v>223575.82570267867</v>
      </c>
      <c r="D15" s="43"/>
      <c r="E15" s="195" t="s">
        <v>106</v>
      </c>
      <c r="F15" s="196">
        <f>C15*C14-F14</f>
        <v>0</v>
      </c>
    </row>
    <row r="16" spans="2:19" x14ac:dyDescent="0.25">
      <c r="B16" s="43"/>
      <c r="C16" s="43"/>
      <c r="D16" s="43"/>
      <c r="E16" s="43"/>
      <c r="F16" s="43"/>
    </row>
    <row r="17" spans="1:24" x14ac:dyDescent="0.25">
      <c r="B17" s="43"/>
      <c r="C17" s="47"/>
      <c r="D17" s="43"/>
      <c r="E17" s="43"/>
      <c r="F17" s="43"/>
    </row>
    <row r="18" spans="1:24" ht="15.75" thickBot="1" x14ac:dyDescent="0.3"/>
    <row r="19" spans="1:24" s="38" customFormat="1" ht="15.75" thickBot="1" x14ac:dyDescent="0.3">
      <c r="A19" s="41"/>
      <c r="B19" s="128" t="s">
        <v>107</v>
      </c>
      <c r="C19" s="67"/>
      <c r="D19" s="67">
        <v>1</v>
      </c>
      <c r="E19" s="67">
        <f>D19+1</f>
        <v>2</v>
      </c>
      <c r="F19" s="67">
        <f t="shared" ref="F19:V19" si="0">E19+1</f>
        <v>3</v>
      </c>
      <c r="G19" s="67">
        <f t="shared" si="0"/>
        <v>4</v>
      </c>
      <c r="H19" s="67">
        <f t="shared" si="0"/>
        <v>5</v>
      </c>
      <c r="I19" s="67">
        <f t="shared" si="0"/>
        <v>6</v>
      </c>
      <c r="J19" s="67">
        <f t="shared" si="0"/>
        <v>7</v>
      </c>
      <c r="K19" s="67">
        <f t="shared" si="0"/>
        <v>8</v>
      </c>
      <c r="L19" s="67">
        <f t="shared" si="0"/>
        <v>9</v>
      </c>
      <c r="M19" s="67">
        <f t="shared" si="0"/>
        <v>10</v>
      </c>
      <c r="N19" s="67">
        <f t="shared" si="0"/>
        <v>11</v>
      </c>
      <c r="O19" s="67">
        <f t="shared" si="0"/>
        <v>12</v>
      </c>
      <c r="P19" s="67">
        <f t="shared" si="0"/>
        <v>13</v>
      </c>
      <c r="Q19" s="67">
        <f t="shared" si="0"/>
        <v>14</v>
      </c>
      <c r="R19" s="67">
        <f t="shared" si="0"/>
        <v>15</v>
      </c>
      <c r="S19" s="67">
        <f t="shared" si="0"/>
        <v>16</v>
      </c>
      <c r="T19" s="67">
        <f t="shared" si="0"/>
        <v>17</v>
      </c>
      <c r="U19" s="67">
        <f t="shared" si="0"/>
        <v>18</v>
      </c>
      <c r="V19" s="67">
        <f t="shared" si="0"/>
        <v>19</v>
      </c>
      <c r="W19" s="68">
        <f>V19+1</f>
        <v>20</v>
      </c>
    </row>
    <row r="20" spans="1:24" s="38" customFormat="1" x14ac:dyDescent="0.25">
      <c r="A20" s="39"/>
      <c r="B20" s="166" t="s">
        <v>108</v>
      </c>
      <c r="C20" s="94" t="str">
        <f>Currency</f>
        <v>EUR</v>
      </c>
      <c r="D20" s="167">
        <f>IF($C$14&gt;=D19,(($C$15*$C$14)-$C$12)/$C$14,0)</f>
        <v>46666.575702678689</v>
      </c>
      <c r="E20" s="167">
        <f t="shared" ref="E20:W20" si="1">IF($C$14&gt;=E19,(($C$15*$C$14)-$C$12)/$C$14,0)</f>
        <v>46666.575702678689</v>
      </c>
      <c r="F20" s="167">
        <f t="shared" si="1"/>
        <v>46666.575702678689</v>
      </c>
      <c r="G20" s="167">
        <f t="shared" si="1"/>
        <v>46666.575702678689</v>
      </c>
      <c r="H20" s="167">
        <f t="shared" si="1"/>
        <v>46666.575702678689</v>
      </c>
      <c r="I20" s="167">
        <f t="shared" si="1"/>
        <v>46666.575702678689</v>
      </c>
      <c r="J20" s="167">
        <f t="shared" si="1"/>
        <v>46666.575702678689</v>
      </c>
      <c r="K20" s="167">
        <f t="shared" si="1"/>
        <v>46666.575702678689</v>
      </c>
      <c r="L20" s="167">
        <f t="shared" si="1"/>
        <v>46666.575702678689</v>
      </c>
      <c r="M20" s="167">
        <f t="shared" si="1"/>
        <v>46666.575702678689</v>
      </c>
      <c r="N20" s="167">
        <f t="shared" si="1"/>
        <v>0</v>
      </c>
      <c r="O20" s="167">
        <f t="shared" si="1"/>
        <v>0</v>
      </c>
      <c r="P20" s="167">
        <f t="shared" si="1"/>
        <v>0</v>
      </c>
      <c r="Q20" s="167">
        <f t="shared" si="1"/>
        <v>0</v>
      </c>
      <c r="R20" s="167">
        <f t="shared" si="1"/>
        <v>0</v>
      </c>
      <c r="S20" s="167">
        <f t="shared" si="1"/>
        <v>0</v>
      </c>
      <c r="T20" s="167">
        <f t="shared" si="1"/>
        <v>0</v>
      </c>
      <c r="U20" s="167">
        <f t="shared" si="1"/>
        <v>0</v>
      </c>
      <c r="V20" s="167">
        <f t="shared" si="1"/>
        <v>0</v>
      </c>
      <c r="W20" s="168">
        <f t="shared" si="1"/>
        <v>0</v>
      </c>
    </row>
    <row r="21" spans="1:24" s="38" customFormat="1" x14ac:dyDescent="0.25">
      <c r="A21" s="39"/>
      <c r="B21" s="166" t="s">
        <v>109</v>
      </c>
      <c r="C21" s="94" t="str">
        <f>Currency</f>
        <v>EUR</v>
      </c>
      <c r="D21" s="169">
        <f>IF($C$14&gt;=D19,$C$12/($C$14),0)</f>
        <v>176909.25</v>
      </c>
      <c r="E21" s="169">
        <f t="shared" ref="E21:W21" si="2">IF($C$14&gt;=E19,$C$12/($C$14),0)</f>
        <v>176909.25</v>
      </c>
      <c r="F21" s="169">
        <f t="shared" si="2"/>
        <v>176909.25</v>
      </c>
      <c r="G21" s="169">
        <f t="shared" si="2"/>
        <v>176909.25</v>
      </c>
      <c r="H21" s="169">
        <f t="shared" si="2"/>
        <v>176909.25</v>
      </c>
      <c r="I21" s="169">
        <f t="shared" si="2"/>
        <v>176909.25</v>
      </c>
      <c r="J21" s="169">
        <f t="shared" si="2"/>
        <v>176909.25</v>
      </c>
      <c r="K21" s="169">
        <f t="shared" si="2"/>
        <v>176909.25</v>
      </c>
      <c r="L21" s="169">
        <f t="shared" si="2"/>
        <v>176909.25</v>
      </c>
      <c r="M21" s="169">
        <f t="shared" si="2"/>
        <v>176909.25</v>
      </c>
      <c r="N21" s="169">
        <f t="shared" si="2"/>
        <v>0</v>
      </c>
      <c r="O21" s="169">
        <f t="shared" si="2"/>
        <v>0</v>
      </c>
      <c r="P21" s="169">
        <f t="shared" si="2"/>
        <v>0</v>
      </c>
      <c r="Q21" s="169">
        <f t="shared" si="2"/>
        <v>0</v>
      </c>
      <c r="R21" s="169">
        <f t="shared" si="2"/>
        <v>0</v>
      </c>
      <c r="S21" s="169">
        <f t="shared" si="2"/>
        <v>0</v>
      </c>
      <c r="T21" s="169">
        <f t="shared" si="2"/>
        <v>0</v>
      </c>
      <c r="U21" s="169">
        <f t="shared" si="2"/>
        <v>0</v>
      </c>
      <c r="V21" s="169">
        <f t="shared" si="2"/>
        <v>0</v>
      </c>
      <c r="W21" s="170">
        <f t="shared" si="2"/>
        <v>0</v>
      </c>
      <c r="X21" s="48"/>
    </row>
    <row r="22" spans="1:24" s="38" customFormat="1" ht="15.75" thickBot="1" x14ac:dyDescent="0.3">
      <c r="A22" s="39"/>
      <c r="B22" s="166" t="s">
        <v>89</v>
      </c>
      <c r="C22" s="94" t="str">
        <f>Currency</f>
        <v>EUR</v>
      </c>
      <c r="D22" s="171">
        <f>C9</f>
        <v>12383.647499999999</v>
      </c>
      <c r="E22" s="171"/>
      <c r="F22" s="171"/>
      <c r="G22" s="171"/>
      <c r="H22" s="171"/>
      <c r="I22" s="171"/>
      <c r="J22" s="171"/>
      <c r="K22" s="171"/>
      <c r="L22" s="171"/>
      <c r="M22" s="171"/>
      <c r="N22" s="171"/>
      <c r="O22" s="171"/>
      <c r="P22" s="171"/>
      <c r="Q22" s="171"/>
      <c r="R22" s="171"/>
      <c r="S22" s="171"/>
      <c r="T22" s="171"/>
      <c r="U22" s="171"/>
      <c r="V22" s="171"/>
      <c r="W22" s="172"/>
      <c r="X22" s="48"/>
    </row>
    <row r="23" spans="1:24" s="42" customFormat="1" ht="15.75" thickBot="1" x14ac:dyDescent="0.3">
      <c r="A23" s="41"/>
      <c r="B23" s="173" t="s">
        <v>104</v>
      </c>
      <c r="C23" s="174" t="str">
        <f>Currency</f>
        <v>EUR</v>
      </c>
      <c r="D23" s="175">
        <f>D20+D21+D22</f>
        <v>235959.4732026787</v>
      </c>
      <c r="E23" s="175">
        <f t="shared" ref="E23:W23" si="3">E20+E21+E22</f>
        <v>223575.8257026787</v>
      </c>
      <c r="F23" s="175">
        <f t="shared" si="3"/>
        <v>223575.8257026787</v>
      </c>
      <c r="G23" s="175">
        <f t="shared" si="3"/>
        <v>223575.8257026787</v>
      </c>
      <c r="H23" s="175">
        <f t="shared" si="3"/>
        <v>223575.8257026787</v>
      </c>
      <c r="I23" s="175">
        <f t="shared" si="3"/>
        <v>223575.8257026787</v>
      </c>
      <c r="J23" s="175">
        <f t="shared" si="3"/>
        <v>223575.8257026787</v>
      </c>
      <c r="K23" s="175">
        <f t="shared" si="3"/>
        <v>223575.8257026787</v>
      </c>
      <c r="L23" s="175">
        <f t="shared" si="3"/>
        <v>223575.8257026787</v>
      </c>
      <c r="M23" s="175">
        <f t="shared" si="3"/>
        <v>223575.8257026787</v>
      </c>
      <c r="N23" s="175">
        <f t="shared" si="3"/>
        <v>0</v>
      </c>
      <c r="O23" s="175">
        <f t="shared" si="3"/>
        <v>0</v>
      </c>
      <c r="P23" s="175">
        <f t="shared" si="3"/>
        <v>0</v>
      </c>
      <c r="Q23" s="175">
        <f t="shared" si="3"/>
        <v>0</v>
      </c>
      <c r="R23" s="175">
        <f t="shared" si="3"/>
        <v>0</v>
      </c>
      <c r="S23" s="175">
        <f t="shared" si="3"/>
        <v>0</v>
      </c>
      <c r="T23" s="175">
        <f t="shared" si="3"/>
        <v>0</v>
      </c>
      <c r="U23" s="175">
        <f t="shared" si="3"/>
        <v>0</v>
      </c>
      <c r="V23" s="175">
        <f t="shared" si="3"/>
        <v>0</v>
      </c>
      <c r="W23" s="176">
        <f t="shared" si="3"/>
        <v>0</v>
      </c>
      <c r="X23" s="48"/>
    </row>
  </sheetData>
  <mergeCells count="1">
    <mergeCell ref="B5:F5"/>
  </mergeCells>
  <pageMargins left="0.7" right="0.7" top="0.75" bottom="0.75" header="0.3" footer="0.3"/>
  <ignoredErrors>
    <ignoredError sqref="I20" unlockedFormula="1"/>
  </ignoredError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D17EB-8501-4A6F-B3D0-40B3691A9B74}">
  <sheetPr codeName="Sheet16">
    <tabColor theme="4" tint="0.39997558519241921"/>
  </sheetPr>
  <dimension ref="A1:X22"/>
  <sheetViews>
    <sheetView workbookViewId="0">
      <selection activeCell="K14" sqref="K14"/>
    </sheetView>
  </sheetViews>
  <sheetFormatPr defaultColWidth="8.5703125" defaultRowHeight="15" x14ac:dyDescent="0.25"/>
  <cols>
    <col min="1" max="1" width="4.140625" style="41" customWidth="1"/>
    <col min="2" max="2" width="20.85546875" style="41" customWidth="1"/>
    <col min="3" max="3" width="13.5703125" style="41" customWidth="1"/>
    <col min="4" max="4" width="14.140625" style="41" bestFit="1" customWidth="1"/>
    <col min="5" max="5" width="16.42578125" style="41" customWidth="1"/>
    <col min="6" max="6" width="20.140625" style="41" customWidth="1"/>
    <col min="7" max="8" width="8.5703125" style="41"/>
    <col min="9" max="9" width="15" style="41" bestFit="1" customWidth="1"/>
    <col min="10" max="10" width="10.42578125" style="41" bestFit="1" customWidth="1"/>
    <col min="11" max="19" width="12.140625" style="41" bestFit="1" customWidth="1"/>
    <col min="20" max="16384" width="8.5703125" style="41"/>
  </cols>
  <sheetData>
    <row r="1" spans="2:19" ht="22.7" customHeight="1" x14ac:dyDescent="0.25">
      <c r="B1" s="287"/>
      <c r="C1" s="288"/>
      <c r="D1" s="288"/>
      <c r="E1" s="288"/>
      <c r="F1" s="288"/>
      <c r="G1" s="288"/>
      <c r="H1" s="288"/>
      <c r="I1" s="288"/>
      <c r="J1" s="288"/>
    </row>
    <row r="2" spans="2:19" ht="22.7" customHeight="1" x14ac:dyDescent="0.25">
      <c r="B2" s="105"/>
      <c r="C2" s="106"/>
      <c r="D2" s="106"/>
      <c r="E2" s="106"/>
      <c r="F2" s="106"/>
      <c r="G2" s="106"/>
      <c r="H2" s="106"/>
      <c r="I2" s="106"/>
      <c r="J2" s="106"/>
    </row>
    <row r="3" spans="2:19" ht="22.7" customHeight="1" thickBot="1" x14ac:dyDescent="0.3">
      <c r="B3" s="105"/>
      <c r="C3" s="106"/>
      <c r="D3" s="106"/>
      <c r="E3" s="106"/>
      <c r="F3" s="106"/>
      <c r="G3" s="106"/>
      <c r="H3" s="106"/>
      <c r="I3" s="106"/>
      <c r="J3" s="106"/>
    </row>
    <row r="4" spans="2:19" ht="15.75" thickBot="1" x14ac:dyDescent="0.3">
      <c r="B4" s="117" t="s">
        <v>89</v>
      </c>
      <c r="C4" s="119"/>
    </row>
    <row r="5" spans="2:19" x14ac:dyDescent="0.25">
      <c r="B5" s="134" t="s">
        <v>97</v>
      </c>
      <c r="C5" s="135">
        <f>0.002*C11</f>
        <v>1819.0925</v>
      </c>
    </row>
    <row r="6" spans="2:19" ht="15.75" thickBot="1" x14ac:dyDescent="0.3">
      <c r="B6" s="144" t="s">
        <v>91</v>
      </c>
      <c r="C6" s="150">
        <f>0.005*C11</f>
        <v>4547.7312499999998</v>
      </c>
    </row>
    <row r="7" spans="2:19" ht="15.75" thickBot="1" x14ac:dyDescent="0.3">
      <c r="B7" s="197" t="s">
        <v>110</v>
      </c>
      <c r="C7" s="149">
        <f>SUM(C5:C6)</f>
        <v>6366.8237499999996</v>
      </c>
    </row>
    <row r="8" spans="2:19" ht="15.75" thickBot="1" x14ac:dyDescent="0.3"/>
    <row r="9" spans="2:19" ht="15.75" thickBot="1" x14ac:dyDescent="0.3">
      <c r="B9" s="120" t="s">
        <v>111</v>
      </c>
      <c r="C9" s="121"/>
      <c r="D9" s="43"/>
      <c r="I9" s="44"/>
      <c r="J9" s="43"/>
      <c r="K9" s="46"/>
      <c r="L9" s="46"/>
      <c r="M9" s="46"/>
      <c r="N9" s="46"/>
      <c r="O9" s="46"/>
      <c r="P9" s="46"/>
      <c r="Q9" s="46"/>
      <c r="R9" s="46"/>
      <c r="S9" s="46"/>
    </row>
    <row r="10" spans="2:19" x14ac:dyDescent="0.25">
      <c r="B10" s="198" t="s">
        <v>112</v>
      </c>
      <c r="C10" s="199">
        <f>INPUTS!D12</f>
        <v>0.5</v>
      </c>
      <c r="D10" s="43"/>
      <c r="E10" s="180" t="s">
        <v>100</v>
      </c>
      <c r="F10" s="181">
        <f>(C14*C13)-C11</f>
        <v>268357.75517674978</v>
      </c>
      <c r="I10" s="44"/>
      <c r="J10" s="43"/>
      <c r="K10" s="46"/>
      <c r="L10" s="46"/>
      <c r="M10" s="46"/>
      <c r="N10" s="46"/>
      <c r="O10" s="46"/>
      <c r="P10" s="46"/>
      <c r="Q10" s="46"/>
      <c r="R10" s="46"/>
      <c r="S10" s="46"/>
    </row>
    <row r="11" spans="2:19" x14ac:dyDescent="0.25">
      <c r="B11" s="153" t="s">
        <v>99</v>
      </c>
      <c r="C11" s="200">
        <f>Dashboard!C20-SUM(INPUTS!D76:W76)*'Capital rebate loan (FIs)'!C10</f>
        <v>909546.25</v>
      </c>
      <c r="D11" s="43"/>
      <c r="E11" s="193" t="s">
        <v>102</v>
      </c>
      <c r="F11" s="194">
        <f>C11</f>
        <v>909546.25</v>
      </c>
      <c r="I11" s="46"/>
      <c r="J11" s="46"/>
      <c r="K11" s="46"/>
      <c r="L11" s="46"/>
      <c r="M11" s="46"/>
      <c r="N11" s="46"/>
      <c r="O11" s="46"/>
      <c r="P11" s="46"/>
      <c r="Q11" s="46"/>
      <c r="R11" s="46"/>
      <c r="S11" s="46"/>
    </row>
    <row r="12" spans="2:19" ht="15.75" thickBot="1" x14ac:dyDescent="0.3">
      <c r="B12" s="153" t="s">
        <v>101</v>
      </c>
      <c r="C12" s="192">
        <v>0.05</v>
      </c>
      <c r="D12" s="43"/>
      <c r="E12" s="184" t="s">
        <v>104</v>
      </c>
      <c r="F12" s="185">
        <f>F10+F11</f>
        <v>1177904.0051767498</v>
      </c>
      <c r="I12" s="46"/>
      <c r="J12" s="46"/>
      <c r="K12" s="46"/>
      <c r="L12" s="46"/>
      <c r="M12" s="46"/>
      <c r="N12" s="46"/>
      <c r="O12" s="46"/>
      <c r="P12" s="46"/>
      <c r="Q12" s="46"/>
      <c r="R12" s="46"/>
      <c r="S12" s="46"/>
    </row>
    <row r="13" spans="2:19" ht="15.75" thickBot="1" x14ac:dyDescent="0.3">
      <c r="B13" s="153" t="s">
        <v>103</v>
      </c>
      <c r="C13" s="155">
        <v>10</v>
      </c>
      <c r="D13" s="43"/>
      <c r="E13" s="186" t="s">
        <v>106</v>
      </c>
      <c r="F13" s="187">
        <f>C14*C13-F12</f>
        <v>0</v>
      </c>
    </row>
    <row r="14" spans="2:19" ht="15.75" thickBot="1" x14ac:dyDescent="0.3">
      <c r="B14" s="156" t="s">
        <v>105</v>
      </c>
      <c r="C14" s="157">
        <f>PMT(C12,C13,-C11)</f>
        <v>117790.40051767498</v>
      </c>
      <c r="D14" s="43"/>
    </row>
    <row r="15" spans="2:19" x14ac:dyDescent="0.25">
      <c r="D15" s="43"/>
    </row>
    <row r="16" spans="2:19" x14ac:dyDescent="0.25">
      <c r="B16" s="43"/>
      <c r="C16" s="47"/>
      <c r="D16" s="43"/>
    </row>
    <row r="17" spans="1:24" ht="15.75" thickBot="1" x14ac:dyDescent="0.3">
      <c r="B17" s="43"/>
      <c r="C17" s="47"/>
      <c r="D17" s="43"/>
    </row>
    <row r="18" spans="1:24" s="38" customFormat="1" ht="15.75" thickBot="1" x14ac:dyDescent="0.3">
      <c r="A18" s="41"/>
      <c r="B18" s="128" t="s">
        <v>107</v>
      </c>
      <c r="C18" s="67"/>
      <c r="D18" s="67">
        <v>1</v>
      </c>
      <c r="E18" s="67">
        <f>D18+1</f>
        <v>2</v>
      </c>
      <c r="F18" s="126">
        <f t="shared" ref="F18:V18" si="0">E18+1</f>
        <v>3</v>
      </c>
      <c r="G18" s="67">
        <f t="shared" si="0"/>
        <v>4</v>
      </c>
      <c r="H18" s="67">
        <f t="shared" si="0"/>
        <v>5</v>
      </c>
      <c r="I18" s="67">
        <f t="shared" si="0"/>
        <v>6</v>
      </c>
      <c r="J18" s="67">
        <f t="shared" si="0"/>
        <v>7</v>
      </c>
      <c r="K18" s="67">
        <f t="shared" si="0"/>
        <v>8</v>
      </c>
      <c r="L18" s="67">
        <f t="shared" si="0"/>
        <v>9</v>
      </c>
      <c r="M18" s="67">
        <f t="shared" si="0"/>
        <v>10</v>
      </c>
      <c r="N18" s="67">
        <f t="shared" si="0"/>
        <v>11</v>
      </c>
      <c r="O18" s="67">
        <f t="shared" si="0"/>
        <v>12</v>
      </c>
      <c r="P18" s="67">
        <f t="shared" si="0"/>
        <v>13</v>
      </c>
      <c r="Q18" s="67">
        <f t="shared" si="0"/>
        <v>14</v>
      </c>
      <c r="R18" s="67">
        <f t="shared" si="0"/>
        <v>15</v>
      </c>
      <c r="S18" s="67">
        <f t="shared" si="0"/>
        <v>16</v>
      </c>
      <c r="T18" s="67">
        <f t="shared" si="0"/>
        <v>17</v>
      </c>
      <c r="U18" s="67">
        <f t="shared" si="0"/>
        <v>18</v>
      </c>
      <c r="V18" s="67">
        <f t="shared" si="0"/>
        <v>19</v>
      </c>
      <c r="W18" s="68">
        <f>V18+1</f>
        <v>20</v>
      </c>
    </row>
    <row r="19" spans="1:24" s="38" customFormat="1" x14ac:dyDescent="0.25">
      <c r="A19" s="123"/>
      <c r="B19" s="166" t="s">
        <v>108</v>
      </c>
      <c r="C19" s="94" t="str">
        <f>Currency</f>
        <v>EUR</v>
      </c>
      <c r="D19" s="188">
        <f>IF($C$13&gt;=D18,(($C$14*$C$13)-$C$11)/$C$13,0)</f>
        <v>26835.775517674978</v>
      </c>
      <c r="E19" s="188">
        <f t="shared" ref="E19:W19" si="1">IF($C$13&gt;=E18,(($C$14*$C$13)-$C$11)/$C$13,0)</f>
        <v>26835.775517674978</v>
      </c>
      <c r="F19" s="188">
        <f t="shared" si="1"/>
        <v>26835.775517674978</v>
      </c>
      <c r="G19" s="188">
        <f t="shared" si="1"/>
        <v>26835.775517674978</v>
      </c>
      <c r="H19" s="188">
        <f t="shared" si="1"/>
        <v>26835.775517674978</v>
      </c>
      <c r="I19" s="188">
        <f t="shared" si="1"/>
        <v>26835.775517674978</v>
      </c>
      <c r="J19" s="188">
        <f t="shared" si="1"/>
        <v>26835.775517674978</v>
      </c>
      <c r="K19" s="188">
        <f t="shared" si="1"/>
        <v>26835.775517674978</v>
      </c>
      <c r="L19" s="188">
        <f t="shared" si="1"/>
        <v>26835.775517674978</v>
      </c>
      <c r="M19" s="188">
        <f t="shared" si="1"/>
        <v>26835.775517674978</v>
      </c>
      <c r="N19" s="188">
        <f t="shared" si="1"/>
        <v>0</v>
      </c>
      <c r="O19" s="188">
        <f t="shared" si="1"/>
        <v>0</v>
      </c>
      <c r="P19" s="188">
        <f t="shared" si="1"/>
        <v>0</v>
      </c>
      <c r="Q19" s="188">
        <f t="shared" si="1"/>
        <v>0</v>
      </c>
      <c r="R19" s="188">
        <f t="shared" si="1"/>
        <v>0</v>
      </c>
      <c r="S19" s="188">
        <f t="shared" si="1"/>
        <v>0</v>
      </c>
      <c r="T19" s="188">
        <f t="shared" si="1"/>
        <v>0</v>
      </c>
      <c r="U19" s="188">
        <f t="shared" si="1"/>
        <v>0</v>
      </c>
      <c r="V19" s="188">
        <f t="shared" si="1"/>
        <v>0</v>
      </c>
      <c r="W19" s="201">
        <f t="shared" si="1"/>
        <v>0</v>
      </c>
    </row>
    <row r="20" spans="1:24" s="38" customFormat="1" x14ac:dyDescent="0.25">
      <c r="A20" s="123"/>
      <c r="B20" s="166" t="s">
        <v>109</v>
      </c>
      <c r="C20" s="94" t="str">
        <f>Currency</f>
        <v>EUR</v>
      </c>
      <c r="D20" s="189">
        <f>IF($C$13&gt;=D18,$C$11/($C$13),0)</f>
        <v>90954.625</v>
      </c>
      <c r="E20" s="189">
        <f t="shared" ref="E20:W20" si="2">IF($C$13&gt;=E18,$C$11/($C$13),0)</f>
        <v>90954.625</v>
      </c>
      <c r="F20" s="189">
        <f t="shared" si="2"/>
        <v>90954.625</v>
      </c>
      <c r="G20" s="189">
        <f t="shared" si="2"/>
        <v>90954.625</v>
      </c>
      <c r="H20" s="189">
        <f t="shared" si="2"/>
        <v>90954.625</v>
      </c>
      <c r="I20" s="189">
        <f t="shared" si="2"/>
        <v>90954.625</v>
      </c>
      <c r="J20" s="189">
        <f t="shared" si="2"/>
        <v>90954.625</v>
      </c>
      <c r="K20" s="189">
        <f t="shared" si="2"/>
        <v>90954.625</v>
      </c>
      <c r="L20" s="189">
        <f t="shared" si="2"/>
        <v>90954.625</v>
      </c>
      <c r="M20" s="189">
        <f t="shared" si="2"/>
        <v>90954.625</v>
      </c>
      <c r="N20" s="189">
        <f t="shared" si="2"/>
        <v>0</v>
      </c>
      <c r="O20" s="189">
        <f t="shared" si="2"/>
        <v>0</v>
      </c>
      <c r="P20" s="189">
        <f t="shared" si="2"/>
        <v>0</v>
      </c>
      <c r="Q20" s="189">
        <f t="shared" si="2"/>
        <v>0</v>
      </c>
      <c r="R20" s="189">
        <f t="shared" si="2"/>
        <v>0</v>
      </c>
      <c r="S20" s="189">
        <f t="shared" si="2"/>
        <v>0</v>
      </c>
      <c r="T20" s="189">
        <f t="shared" si="2"/>
        <v>0</v>
      </c>
      <c r="U20" s="189">
        <f t="shared" si="2"/>
        <v>0</v>
      </c>
      <c r="V20" s="189">
        <f t="shared" si="2"/>
        <v>0</v>
      </c>
      <c r="W20" s="202">
        <f t="shared" si="2"/>
        <v>0</v>
      </c>
      <c r="X20" s="48"/>
    </row>
    <row r="21" spans="1:24" s="38" customFormat="1" x14ac:dyDescent="0.25">
      <c r="A21" s="123"/>
      <c r="B21" s="166" t="s">
        <v>89</v>
      </c>
      <c r="C21" s="94" t="s">
        <v>44</v>
      </c>
      <c r="D21" s="189">
        <f>C7</f>
        <v>6366.8237499999996</v>
      </c>
      <c r="E21" s="189"/>
      <c r="F21" s="189"/>
      <c r="G21" s="189"/>
      <c r="H21" s="189"/>
      <c r="I21" s="189"/>
      <c r="J21" s="189"/>
      <c r="K21" s="189"/>
      <c r="L21" s="189"/>
      <c r="M21" s="189"/>
      <c r="N21" s="189"/>
      <c r="O21" s="189"/>
      <c r="P21" s="189"/>
      <c r="Q21" s="189"/>
      <c r="R21" s="189"/>
      <c r="S21" s="189"/>
      <c r="T21" s="189"/>
      <c r="U21" s="189"/>
      <c r="V21" s="189"/>
      <c r="W21" s="202"/>
      <c r="X21" s="48"/>
    </row>
    <row r="22" spans="1:24" s="42" customFormat="1" ht="15.75" thickBot="1" x14ac:dyDescent="0.3">
      <c r="A22" s="41"/>
      <c r="B22" s="203" t="s">
        <v>104</v>
      </c>
      <c r="C22" s="204" t="s">
        <v>44</v>
      </c>
      <c r="D22" s="205">
        <f>D19+D20+D21</f>
        <v>124157.22426767497</v>
      </c>
      <c r="E22" s="205">
        <f t="shared" ref="E22:W22" si="3">E19+E20+E21</f>
        <v>117790.40051767498</v>
      </c>
      <c r="F22" s="205">
        <f t="shared" si="3"/>
        <v>117790.40051767498</v>
      </c>
      <c r="G22" s="205">
        <f t="shared" si="3"/>
        <v>117790.40051767498</v>
      </c>
      <c r="H22" s="205">
        <f t="shared" si="3"/>
        <v>117790.40051767498</v>
      </c>
      <c r="I22" s="205">
        <f t="shared" si="3"/>
        <v>117790.40051767498</v>
      </c>
      <c r="J22" s="205">
        <f t="shared" si="3"/>
        <v>117790.40051767498</v>
      </c>
      <c r="K22" s="205">
        <f t="shared" si="3"/>
        <v>117790.40051767498</v>
      </c>
      <c r="L22" s="205">
        <f t="shared" si="3"/>
        <v>117790.40051767498</v>
      </c>
      <c r="M22" s="205">
        <f t="shared" si="3"/>
        <v>117790.40051767498</v>
      </c>
      <c r="N22" s="205">
        <f t="shared" si="3"/>
        <v>0</v>
      </c>
      <c r="O22" s="205">
        <f t="shared" si="3"/>
        <v>0</v>
      </c>
      <c r="P22" s="205">
        <f t="shared" si="3"/>
        <v>0</v>
      </c>
      <c r="Q22" s="205">
        <f t="shared" si="3"/>
        <v>0</v>
      </c>
      <c r="R22" s="205">
        <f t="shared" si="3"/>
        <v>0</v>
      </c>
      <c r="S22" s="205">
        <f t="shared" si="3"/>
        <v>0</v>
      </c>
      <c r="T22" s="205">
        <f t="shared" si="3"/>
        <v>0</v>
      </c>
      <c r="U22" s="205">
        <f t="shared" si="3"/>
        <v>0</v>
      </c>
      <c r="V22" s="205">
        <f t="shared" si="3"/>
        <v>0</v>
      </c>
      <c r="W22" s="206">
        <f t="shared" si="3"/>
        <v>0</v>
      </c>
      <c r="X22" s="48"/>
    </row>
  </sheetData>
  <mergeCells count="1">
    <mergeCell ref="B1:J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95CD5-5C66-4A42-8A00-7B9A0BE45EEC}">
  <sheetPr codeName="Sheet17">
    <tabColor theme="4" tint="0.39997558519241921"/>
  </sheetPr>
  <dimension ref="A1:W28"/>
  <sheetViews>
    <sheetView workbookViewId="0">
      <selection activeCell="H7" sqref="H7"/>
    </sheetView>
  </sheetViews>
  <sheetFormatPr defaultColWidth="8.5703125" defaultRowHeight="15" x14ac:dyDescent="0.25"/>
  <cols>
    <col min="1" max="1" width="2.5703125" style="41" customWidth="1"/>
    <col min="2" max="2" width="42.5703125" style="41" customWidth="1"/>
    <col min="3" max="3" width="22.42578125" style="41" customWidth="1"/>
    <col min="4" max="4" width="13.42578125" style="41" customWidth="1"/>
    <col min="5" max="6" width="17.85546875" style="41" customWidth="1"/>
    <col min="7" max="7" width="15.42578125" style="41" customWidth="1"/>
    <col min="8" max="8" width="8.5703125" style="41"/>
    <col min="9" max="9" width="8.85546875" style="41" bestFit="1" customWidth="1"/>
    <col min="10" max="10" width="12.5703125" style="41" bestFit="1" customWidth="1"/>
    <col min="11" max="19" width="12.140625" style="41" bestFit="1" customWidth="1"/>
    <col min="20" max="16384" width="8.5703125" style="41"/>
  </cols>
  <sheetData>
    <row r="1" spans="2:19" ht="21" customHeight="1" x14ac:dyDescent="0.25">
      <c r="B1" s="289"/>
      <c r="C1" s="290"/>
      <c r="D1" s="290"/>
      <c r="E1" s="290"/>
    </row>
    <row r="2" spans="2:19" ht="21" customHeight="1" x14ac:dyDescent="0.25">
      <c r="B2" s="107"/>
      <c r="C2" s="108"/>
      <c r="D2" s="108"/>
      <c r="E2" s="108"/>
    </row>
    <row r="3" spans="2:19" ht="21" customHeight="1" x14ac:dyDescent="0.25">
      <c r="B3" s="107"/>
      <c r="C3" s="108"/>
      <c r="D3" s="108"/>
      <c r="E3" s="108"/>
    </row>
    <row r="4" spans="2:19" ht="21" customHeight="1" thickBot="1" x14ac:dyDescent="0.3">
      <c r="B4" s="50"/>
      <c r="C4" s="59"/>
      <c r="D4" s="59"/>
      <c r="E4" s="59"/>
    </row>
    <row r="5" spans="2:19" ht="15.75" thickBot="1" x14ac:dyDescent="0.3">
      <c r="B5" s="117" t="s">
        <v>89</v>
      </c>
      <c r="C5" s="118" t="str">
        <f>Currency</f>
        <v>EUR</v>
      </c>
    </row>
    <row r="6" spans="2:19" ht="30" x14ac:dyDescent="0.25">
      <c r="B6" s="207" t="s">
        <v>113</v>
      </c>
      <c r="C6" s="208">
        <f>IF(C17&lt;1000000, (50000), (C17*0.013))</f>
        <v>22998.202499999999</v>
      </c>
    </row>
    <row r="7" spans="2:19" ht="45.75" thickBot="1" x14ac:dyDescent="0.3">
      <c r="B7" s="209" t="s">
        <v>114</v>
      </c>
      <c r="C7" s="210">
        <f>IF(C17&lt;1000000, (30000), (C17*0.009))</f>
        <v>15921.832499999999</v>
      </c>
    </row>
    <row r="8" spans="2:19" ht="15.75" thickBot="1" x14ac:dyDescent="0.3">
      <c r="B8" s="211" t="s">
        <v>94</v>
      </c>
      <c r="C8" s="212">
        <f>SUM(C6:C7)</f>
        <v>38920.034999999996</v>
      </c>
    </row>
    <row r="9" spans="2:19" ht="15.75" thickBot="1" x14ac:dyDescent="0.3">
      <c r="B9" s="63"/>
      <c r="C9" s="53"/>
    </row>
    <row r="10" spans="2:19" ht="15.75" thickBot="1" x14ac:dyDescent="0.3">
      <c r="B10" s="64" t="s">
        <v>115</v>
      </c>
      <c r="C10" s="65"/>
    </row>
    <row r="11" spans="2:19" x14ac:dyDescent="0.25">
      <c r="B11" s="213" t="s">
        <v>116</v>
      </c>
      <c r="C11" s="214">
        <f>IF(C17&lt;1000000, (50000), (C17*0.01))</f>
        <v>17690.924999999999</v>
      </c>
    </row>
    <row r="12" spans="2:19" ht="15.75" thickBot="1" x14ac:dyDescent="0.3">
      <c r="B12" s="215" t="s">
        <v>117</v>
      </c>
      <c r="C12" s="216">
        <f>IF(C17&lt;1000000, (50000), (C17*0.01))</f>
        <v>17690.924999999999</v>
      </c>
    </row>
    <row r="13" spans="2:19" ht="15.75" thickBot="1" x14ac:dyDescent="0.3">
      <c r="B13" s="211" t="s">
        <v>110</v>
      </c>
      <c r="C13" s="212">
        <f>SUM(C11:C12)</f>
        <v>35381.85</v>
      </c>
    </row>
    <row r="15" spans="2:19" ht="15.75" thickBot="1" x14ac:dyDescent="0.3"/>
    <row r="16" spans="2:19" ht="15.75" thickBot="1" x14ac:dyDescent="0.3">
      <c r="B16" s="21" t="s">
        <v>98</v>
      </c>
      <c r="C16" s="22"/>
      <c r="D16" s="43"/>
      <c r="E16" s="249" t="s">
        <v>100</v>
      </c>
      <c r="F16" s="181">
        <f>(C17*C18)*C20</f>
        <v>884546.25</v>
      </c>
      <c r="G16" s="43"/>
      <c r="J16" s="46"/>
      <c r="K16" s="46"/>
      <c r="L16" s="46"/>
      <c r="M16" s="46"/>
      <c r="N16" s="46"/>
      <c r="O16" s="46"/>
      <c r="P16" s="46"/>
      <c r="Q16" s="46"/>
      <c r="R16" s="46"/>
      <c r="S16" s="46"/>
    </row>
    <row r="17" spans="1:23" x14ac:dyDescent="0.25">
      <c r="B17" s="151" t="s">
        <v>118</v>
      </c>
      <c r="C17" s="152">
        <f>Dashboard!C20</f>
        <v>1769092.5</v>
      </c>
      <c r="D17" s="43"/>
      <c r="E17" s="250" t="s">
        <v>102</v>
      </c>
      <c r="F17" s="247">
        <f>C17</f>
        <v>1769092.5</v>
      </c>
      <c r="G17" s="43"/>
      <c r="J17" s="46"/>
      <c r="K17" s="46"/>
      <c r="L17" s="46"/>
      <c r="M17" s="46"/>
      <c r="N17" s="46"/>
      <c r="O17" s="46"/>
      <c r="P17" s="46"/>
      <c r="Q17" s="46"/>
      <c r="R17" s="46"/>
      <c r="S17" s="46"/>
    </row>
    <row r="18" spans="1:23" ht="15.75" thickBot="1" x14ac:dyDescent="0.3">
      <c r="B18" s="153" t="s">
        <v>119</v>
      </c>
      <c r="C18" s="154">
        <v>0.05</v>
      </c>
      <c r="D18" s="43"/>
      <c r="E18" s="251" t="s">
        <v>104</v>
      </c>
      <c r="F18" s="248">
        <f>SUM(F16:F17)</f>
        <v>2653638.75</v>
      </c>
      <c r="G18" s="54"/>
      <c r="J18" s="46"/>
      <c r="K18" s="46"/>
      <c r="L18" s="46"/>
      <c r="M18" s="46"/>
      <c r="N18" s="46"/>
      <c r="O18" s="46"/>
      <c r="P18" s="46"/>
      <c r="Q18" s="46"/>
      <c r="R18" s="46"/>
      <c r="S18" s="46"/>
    </row>
    <row r="19" spans="1:23" x14ac:dyDescent="0.25">
      <c r="B19" s="153" t="s">
        <v>120</v>
      </c>
      <c r="C19" s="217">
        <f>+C18/2</f>
        <v>2.5000000000000001E-2</v>
      </c>
      <c r="D19" s="43"/>
      <c r="E19" s="43"/>
      <c r="F19" s="43"/>
      <c r="G19" s="54"/>
    </row>
    <row r="20" spans="1:23" ht="15.75" thickBot="1" x14ac:dyDescent="0.3">
      <c r="B20" s="156" t="s">
        <v>103</v>
      </c>
      <c r="C20" s="218">
        <v>10</v>
      </c>
      <c r="D20" s="43"/>
      <c r="F20" s="55"/>
      <c r="G20" s="54"/>
    </row>
    <row r="21" spans="1:23" x14ac:dyDescent="0.25">
      <c r="B21" s="43"/>
      <c r="C21" s="56"/>
      <c r="D21" s="43"/>
      <c r="F21" s="57"/>
      <c r="G21" s="58"/>
    </row>
    <row r="22" spans="1:23" ht="15.75" thickBot="1" x14ac:dyDescent="0.3">
      <c r="B22" s="43"/>
      <c r="C22" s="47"/>
      <c r="D22" s="43"/>
      <c r="E22" s="43"/>
      <c r="F22" s="43"/>
    </row>
    <row r="23" spans="1:23" s="38" customFormat="1" ht="15.75" thickBot="1" x14ac:dyDescent="0.3">
      <c r="A23" s="41"/>
      <c r="B23" s="128" t="s">
        <v>121</v>
      </c>
      <c r="C23" s="67"/>
      <c r="D23" s="67">
        <v>1</v>
      </c>
      <c r="E23" s="67">
        <f>D23+1</f>
        <v>2</v>
      </c>
      <c r="F23" s="67">
        <f t="shared" ref="F23:V23" si="0">E23+1</f>
        <v>3</v>
      </c>
      <c r="G23" s="67">
        <f t="shared" si="0"/>
        <v>4</v>
      </c>
      <c r="H23" s="67">
        <f t="shared" si="0"/>
        <v>5</v>
      </c>
      <c r="I23" s="67">
        <f t="shared" si="0"/>
        <v>6</v>
      </c>
      <c r="J23" s="67">
        <f t="shared" si="0"/>
        <v>7</v>
      </c>
      <c r="K23" s="67">
        <f t="shared" si="0"/>
        <v>8</v>
      </c>
      <c r="L23" s="67">
        <f t="shared" si="0"/>
        <v>9</v>
      </c>
      <c r="M23" s="67">
        <f t="shared" si="0"/>
        <v>10</v>
      </c>
      <c r="N23" s="67">
        <f t="shared" si="0"/>
        <v>11</v>
      </c>
      <c r="O23" s="67">
        <f t="shared" si="0"/>
        <v>12</v>
      </c>
      <c r="P23" s="67">
        <f t="shared" si="0"/>
        <v>13</v>
      </c>
      <c r="Q23" s="67">
        <f t="shared" si="0"/>
        <v>14</v>
      </c>
      <c r="R23" s="67">
        <f t="shared" si="0"/>
        <v>15</v>
      </c>
      <c r="S23" s="67">
        <f t="shared" si="0"/>
        <v>16</v>
      </c>
      <c r="T23" s="67">
        <f t="shared" si="0"/>
        <v>17</v>
      </c>
      <c r="U23" s="67">
        <f t="shared" si="0"/>
        <v>18</v>
      </c>
      <c r="V23" s="67">
        <f t="shared" si="0"/>
        <v>19</v>
      </c>
      <c r="W23" s="68">
        <f>V23+1</f>
        <v>20</v>
      </c>
    </row>
    <row r="24" spans="1:23" s="38" customFormat="1" x14ac:dyDescent="0.25">
      <c r="A24" s="39"/>
      <c r="B24" s="166" t="s">
        <v>108</v>
      </c>
      <c r="C24" s="94" t="str">
        <f>Currency</f>
        <v>EUR</v>
      </c>
      <c r="D24" s="189">
        <f>IF($C$20&gt;=D23,($C$17*$C$18),0)</f>
        <v>88454.625</v>
      </c>
      <c r="E24" s="189">
        <f t="shared" ref="E24:W24" si="1">IF($C$20&gt;=E23,($C$17*$C$18),0)</f>
        <v>88454.625</v>
      </c>
      <c r="F24" s="189">
        <f t="shared" si="1"/>
        <v>88454.625</v>
      </c>
      <c r="G24" s="189">
        <f t="shared" si="1"/>
        <v>88454.625</v>
      </c>
      <c r="H24" s="189">
        <f t="shared" si="1"/>
        <v>88454.625</v>
      </c>
      <c r="I24" s="189">
        <f t="shared" si="1"/>
        <v>88454.625</v>
      </c>
      <c r="J24" s="189">
        <f t="shared" si="1"/>
        <v>88454.625</v>
      </c>
      <c r="K24" s="189">
        <f t="shared" si="1"/>
        <v>88454.625</v>
      </c>
      <c r="L24" s="189">
        <f t="shared" si="1"/>
        <v>88454.625</v>
      </c>
      <c r="M24" s="189">
        <f t="shared" si="1"/>
        <v>88454.625</v>
      </c>
      <c r="N24" s="189">
        <f t="shared" si="1"/>
        <v>0</v>
      </c>
      <c r="O24" s="189">
        <f t="shared" si="1"/>
        <v>0</v>
      </c>
      <c r="P24" s="189">
        <f t="shared" si="1"/>
        <v>0</v>
      </c>
      <c r="Q24" s="189">
        <f t="shared" si="1"/>
        <v>0</v>
      </c>
      <c r="R24" s="189">
        <f t="shared" si="1"/>
        <v>0</v>
      </c>
      <c r="S24" s="189">
        <f t="shared" si="1"/>
        <v>0</v>
      </c>
      <c r="T24" s="189">
        <f t="shared" si="1"/>
        <v>0</v>
      </c>
      <c r="U24" s="189">
        <f t="shared" si="1"/>
        <v>0</v>
      </c>
      <c r="V24" s="189">
        <f t="shared" si="1"/>
        <v>0</v>
      </c>
      <c r="W24" s="202">
        <f t="shared" si="1"/>
        <v>0</v>
      </c>
    </row>
    <row r="25" spans="1:23" s="38" customFormat="1" x14ac:dyDescent="0.25">
      <c r="A25" s="39"/>
      <c r="B25" s="166" t="s">
        <v>109</v>
      </c>
      <c r="C25" s="94" t="str">
        <f>Currency</f>
        <v>EUR</v>
      </c>
      <c r="D25" s="189">
        <f>IF(D23=$C$20, $C$17, 0)</f>
        <v>0</v>
      </c>
      <c r="E25" s="189">
        <f t="shared" ref="E25:W25" si="2">IF(E23=$C$20, $C$17, 0)</f>
        <v>0</v>
      </c>
      <c r="F25" s="189">
        <f t="shared" si="2"/>
        <v>0</v>
      </c>
      <c r="G25" s="189">
        <f t="shared" si="2"/>
        <v>0</v>
      </c>
      <c r="H25" s="189">
        <f t="shared" si="2"/>
        <v>0</v>
      </c>
      <c r="I25" s="189">
        <f t="shared" si="2"/>
        <v>0</v>
      </c>
      <c r="J25" s="189">
        <f t="shared" si="2"/>
        <v>0</v>
      </c>
      <c r="K25" s="189">
        <f t="shared" si="2"/>
        <v>0</v>
      </c>
      <c r="L25" s="189">
        <f t="shared" si="2"/>
        <v>0</v>
      </c>
      <c r="M25" s="189">
        <f t="shared" si="2"/>
        <v>1769092.5</v>
      </c>
      <c r="N25" s="189">
        <f t="shared" si="2"/>
        <v>0</v>
      </c>
      <c r="O25" s="189">
        <f t="shared" si="2"/>
        <v>0</v>
      </c>
      <c r="P25" s="189">
        <f t="shared" si="2"/>
        <v>0</v>
      </c>
      <c r="Q25" s="189">
        <f t="shared" si="2"/>
        <v>0</v>
      </c>
      <c r="R25" s="189">
        <f t="shared" si="2"/>
        <v>0</v>
      </c>
      <c r="S25" s="189">
        <f t="shared" si="2"/>
        <v>0</v>
      </c>
      <c r="T25" s="189">
        <f t="shared" si="2"/>
        <v>0</v>
      </c>
      <c r="U25" s="189">
        <f t="shared" si="2"/>
        <v>0</v>
      </c>
      <c r="V25" s="189">
        <f t="shared" si="2"/>
        <v>0</v>
      </c>
      <c r="W25" s="202">
        <f t="shared" si="2"/>
        <v>0</v>
      </c>
    </row>
    <row r="26" spans="1:23" s="38" customFormat="1" x14ac:dyDescent="0.25">
      <c r="A26" s="39"/>
      <c r="B26" s="166" t="s">
        <v>89</v>
      </c>
      <c r="C26" s="94" t="s">
        <v>44</v>
      </c>
      <c r="D26" s="189">
        <f>C8</f>
        <v>38920.034999999996</v>
      </c>
      <c r="E26" s="189"/>
      <c r="F26" s="189"/>
      <c r="G26" s="189"/>
      <c r="H26" s="189"/>
      <c r="I26" s="189"/>
      <c r="J26" s="189"/>
      <c r="K26" s="189"/>
      <c r="L26" s="189"/>
      <c r="M26" s="189"/>
      <c r="N26" s="189"/>
      <c r="O26" s="189"/>
      <c r="P26" s="189"/>
      <c r="Q26" s="189"/>
      <c r="R26" s="189"/>
      <c r="S26" s="189"/>
      <c r="T26" s="189"/>
      <c r="U26" s="189"/>
      <c r="V26" s="189"/>
      <c r="W26" s="202"/>
    </row>
    <row r="27" spans="1:23" s="38" customFormat="1" x14ac:dyDescent="0.25">
      <c r="A27" s="39"/>
      <c r="B27" s="166" t="s">
        <v>115</v>
      </c>
      <c r="C27" s="94" t="s">
        <v>44</v>
      </c>
      <c r="D27" s="189">
        <f>IF($C$20&gt;=D23,($C$13),0)</f>
        <v>35381.85</v>
      </c>
      <c r="E27" s="189">
        <f t="shared" ref="E27:W27" si="3">IF($C$20&gt;=E23,($C$13),0)</f>
        <v>35381.85</v>
      </c>
      <c r="F27" s="189">
        <f t="shared" si="3"/>
        <v>35381.85</v>
      </c>
      <c r="G27" s="189">
        <f t="shared" si="3"/>
        <v>35381.85</v>
      </c>
      <c r="H27" s="189">
        <f t="shared" si="3"/>
        <v>35381.85</v>
      </c>
      <c r="I27" s="189">
        <f t="shared" si="3"/>
        <v>35381.85</v>
      </c>
      <c r="J27" s="189">
        <f t="shared" si="3"/>
        <v>35381.85</v>
      </c>
      <c r="K27" s="189">
        <f t="shared" si="3"/>
        <v>35381.85</v>
      </c>
      <c r="L27" s="189">
        <f t="shared" si="3"/>
        <v>35381.85</v>
      </c>
      <c r="M27" s="189">
        <f t="shared" si="3"/>
        <v>35381.85</v>
      </c>
      <c r="N27" s="189">
        <f t="shared" si="3"/>
        <v>0</v>
      </c>
      <c r="O27" s="189">
        <f t="shared" si="3"/>
        <v>0</v>
      </c>
      <c r="P27" s="189">
        <f t="shared" si="3"/>
        <v>0</v>
      </c>
      <c r="Q27" s="189">
        <f t="shared" si="3"/>
        <v>0</v>
      </c>
      <c r="R27" s="189">
        <f t="shared" si="3"/>
        <v>0</v>
      </c>
      <c r="S27" s="189">
        <f t="shared" si="3"/>
        <v>0</v>
      </c>
      <c r="T27" s="189">
        <f t="shared" si="3"/>
        <v>0</v>
      </c>
      <c r="U27" s="189">
        <f t="shared" si="3"/>
        <v>0</v>
      </c>
      <c r="V27" s="189">
        <f t="shared" si="3"/>
        <v>0</v>
      </c>
      <c r="W27" s="202">
        <f t="shared" si="3"/>
        <v>0</v>
      </c>
    </row>
    <row r="28" spans="1:23" ht="15.75" thickBot="1" x14ac:dyDescent="0.3">
      <c r="B28" s="203" t="s">
        <v>104</v>
      </c>
      <c r="C28" s="204" t="s">
        <v>44</v>
      </c>
      <c r="D28" s="205">
        <f>D24+D25</f>
        <v>88454.625</v>
      </c>
      <c r="E28" s="205">
        <f>E24+E25</f>
        <v>88454.625</v>
      </c>
      <c r="F28" s="205">
        <f>F24+F25</f>
        <v>88454.625</v>
      </c>
      <c r="G28" s="205">
        <f>G24+G25</f>
        <v>88454.625</v>
      </c>
      <c r="H28" s="205">
        <f>H24+H25</f>
        <v>88454.625</v>
      </c>
      <c r="I28" s="219"/>
      <c r="J28" s="219"/>
      <c r="K28" s="219"/>
      <c r="L28" s="219"/>
      <c r="M28" s="219"/>
      <c r="N28" s="219"/>
      <c r="O28" s="219"/>
      <c r="P28" s="219"/>
      <c r="Q28" s="219"/>
      <c r="R28" s="219"/>
      <c r="S28" s="219"/>
      <c r="T28" s="219"/>
      <c r="U28" s="219"/>
      <c r="V28" s="219"/>
      <c r="W28" s="220"/>
    </row>
  </sheetData>
  <mergeCells count="1">
    <mergeCell ref="B1:E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6C436-9C36-4EFF-952F-949AC1D36FE4}">
  <sheetPr codeName="Sheet18">
    <tabColor theme="4" tint="0.39997558519241921"/>
  </sheetPr>
  <dimension ref="A4:W28"/>
  <sheetViews>
    <sheetView topLeftCell="A4" workbookViewId="0">
      <selection activeCell="J14" sqref="J14"/>
    </sheetView>
  </sheetViews>
  <sheetFormatPr defaultColWidth="8.5703125" defaultRowHeight="15" x14ac:dyDescent="0.25"/>
  <cols>
    <col min="1" max="1" width="6" style="41" customWidth="1"/>
    <col min="2" max="2" width="49.5703125" style="41" customWidth="1"/>
    <col min="3" max="3" width="22" style="41" customWidth="1"/>
    <col min="4" max="4" width="13.42578125" style="41" customWidth="1"/>
    <col min="5" max="6" width="17.85546875" style="41" customWidth="1"/>
    <col min="7" max="8" width="8.5703125" style="41"/>
    <col min="9" max="9" width="8.85546875" style="41" bestFit="1" customWidth="1"/>
    <col min="10" max="10" width="12.5703125" style="41" bestFit="1" customWidth="1"/>
    <col min="11" max="19" width="12.140625" style="41" bestFit="1" customWidth="1"/>
    <col min="20" max="16384" width="8.5703125" style="41"/>
  </cols>
  <sheetData>
    <row r="4" spans="2:19" ht="27" customHeight="1" thickBot="1" x14ac:dyDescent="0.3">
      <c r="B4" s="285"/>
      <c r="C4" s="285"/>
      <c r="D4" s="285"/>
      <c r="E4" s="285"/>
    </row>
    <row r="5" spans="2:19" ht="15.75" thickBot="1" x14ac:dyDescent="0.3">
      <c r="B5" s="112" t="s">
        <v>89</v>
      </c>
      <c r="C5" s="113"/>
    </row>
    <row r="6" spans="2:19" ht="45" x14ac:dyDescent="0.25">
      <c r="B6" s="221" t="s">
        <v>122</v>
      </c>
      <c r="C6" s="135">
        <f>IF(C17&lt;1000000, (50000), (C17*0.015))</f>
        <v>26536.387500000001</v>
      </c>
    </row>
    <row r="7" spans="2:19" ht="45.75" thickBot="1" x14ac:dyDescent="0.3">
      <c r="B7" s="222" t="s">
        <v>114</v>
      </c>
      <c r="C7" s="150">
        <f>IF(C17&lt;1000000, (30000), (C17*0.01))</f>
        <v>17690.924999999999</v>
      </c>
    </row>
    <row r="8" spans="2:19" ht="15.75" thickBot="1" x14ac:dyDescent="0.3">
      <c r="B8" s="138" t="s">
        <v>110</v>
      </c>
      <c r="C8" s="139">
        <f>SUM(C6:C7)</f>
        <v>44227.3125</v>
      </c>
    </row>
    <row r="9" spans="2:19" ht="15.75" thickBot="1" x14ac:dyDescent="0.3">
      <c r="B9" s="42"/>
      <c r="C9" s="53"/>
    </row>
    <row r="10" spans="2:19" ht="15.75" thickBot="1" x14ac:dyDescent="0.3">
      <c r="B10" s="112" t="s">
        <v>115</v>
      </c>
      <c r="C10" s="114"/>
    </row>
    <row r="11" spans="2:19" x14ac:dyDescent="0.25">
      <c r="B11" s="134" t="s">
        <v>116</v>
      </c>
      <c r="C11" s="142">
        <f>IF(C17&lt;1000000, (50000), (C17*0.015))</f>
        <v>26536.387500000001</v>
      </c>
    </row>
    <row r="12" spans="2:19" ht="15.75" thickBot="1" x14ac:dyDescent="0.3">
      <c r="B12" s="136" t="s">
        <v>123</v>
      </c>
      <c r="C12" s="143">
        <f>IF(C17&lt;1000000, (50000), (C17*0.015))</f>
        <v>26536.387500000001</v>
      </c>
    </row>
    <row r="13" spans="2:19" ht="15.75" thickBot="1" x14ac:dyDescent="0.3">
      <c r="B13" s="138" t="s">
        <v>110</v>
      </c>
      <c r="C13" s="139">
        <f>SUM(C11:C12)</f>
        <v>53072.775000000001</v>
      </c>
    </row>
    <row r="15" spans="2:19" ht="15.75" thickBot="1" x14ac:dyDescent="0.3"/>
    <row r="16" spans="2:19" ht="15.75" thickBot="1" x14ac:dyDescent="0.3">
      <c r="B16" s="21" t="s">
        <v>98</v>
      </c>
      <c r="C16" s="115"/>
      <c r="D16" s="43"/>
      <c r="E16" s="249" t="s">
        <v>100</v>
      </c>
      <c r="F16" s="181">
        <f>(C17*C18)*C20</f>
        <v>849164.4</v>
      </c>
      <c r="J16" s="46"/>
      <c r="K16" s="46"/>
      <c r="L16" s="46"/>
      <c r="M16" s="46"/>
      <c r="N16" s="46"/>
      <c r="O16" s="46"/>
      <c r="P16" s="46"/>
      <c r="Q16" s="46"/>
      <c r="R16" s="46"/>
      <c r="S16" s="46"/>
    </row>
    <row r="17" spans="1:23" x14ac:dyDescent="0.25">
      <c r="B17" s="151" t="s">
        <v>118</v>
      </c>
      <c r="C17" s="152">
        <f>Dashboard!C20</f>
        <v>1769092.5</v>
      </c>
      <c r="D17" s="43"/>
      <c r="E17" s="250" t="s">
        <v>102</v>
      </c>
      <c r="F17" s="194">
        <f>C17</f>
        <v>1769092.5</v>
      </c>
      <c r="J17" s="46"/>
      <c r="K17" s="46"/>
      <c r="L17" s="46"/>
      <c r="M17" s="46"/>
      <c r="N17" s="46"/>
      <c r="O17" s="46"/>
      <c r="P17" s="46"/>
      <c r="Q17" s="46"/>
      <c r="R17" s="46"/>
      <c r="S17" s="46"/>
    </row>
    <row r="18" spans="1:23" ht="15.75" thickBot="1" x14ac:dyDescent="0.3">
      <c r="B18" s="153" t="s">
        <v>119</v>
      </c>
      <c r="C18" s="154">
        <v>4.8000000000000001E-2</v>
      </c>
      <c r="D18" s="43"/>
      <c r="E18" s="251" t="s">
        <v>104</v>
      </c>
      <c r="F18" s="246">
        <f>SUM(F16:F17)</f>
        <v>2618256.9</v>
      </c>
      <c r="J18" s="46"/>
      <c r="K18" s="46"/>
      <c r="L18" s="46"/>
      <c r="M18" s="46"/>
      <c r="N18" s="46"/>
      <c r="O18" s="46"/>
      <c r="P18" s="46"/>
      <c r="Q18" s="46"/>
      <c r="R18" s="46"/>
      <c r="S18" s="46"/>
    </row>
    <row r="19" spans="1:23" x14ac:dyDescent="0.25">
      <c r="B19" s="153" t="s">
        <v>120</v>
      </c>
      <c r="C19" s="217">
        <f>+C18/2</f>
        <v>2.4E-2</v>
      </c>
      <c r="D19" s="43"/>
      <c r="E19" s="43"/>
      <c r="F19" s="43"/>
    </row>
    <row r="20" spans="1:23" ht="15.75" thickBot="1" x14ac:dyDescent="0.3">
      <c r="B20" s="156" t="s">
        <v>103</v>
      </c>
      <c r="C20" s="223">
        <v>10</v>
      </c>
      <c r="D20" s="43"/>
    </row>
    <row r="21" spans="1:23" x14ac:dyDescent="0.25">
      <c r="B21" s="43"/>
      <c r="C21" s="56"/>
      <c r="D21" s="43"/>
    </row>
    <row r="22" spans="1:23" ht="15.75" thickBot="1" x14ac:dyDescent="0.3">
      <c r="B22" s="43"/>
      <c r="C22" s="47"/>
      <c r="D22" s="43"/>
      <c r="E22" s="43"/>
      <c r="F22" s="43"/>
    </row>
    <row r="23" spans="1:23" s="38" customFormat="1" ht="15.75" thickBot="1" x14ac:dyDescent="0.3">
      <c r="A23" s="41"/>
      <c r="B23" s="130" t="s">
        <v>121</v>
      </c>
      <c r="C23" s="122"/>
      <c r="D23" s="122">
        <v>1</v>
      </c>
      <c r="E23" s="122">
        <f>D23+1</f>
        <v>2</v>
      </c>
      <c r="F23" s="122">
        <f t="shared" ref="F23:V23" si="0">E23+1</f>
        <v>3</v>
      </c>
      <c r="G23" s="122">
        <f t="shared" si="0"/>
        <v>4</v>
      </c>
      <c r="H23" s="122">
        <f t="shared" si="0"/>
        <v>5</v>
      </c>
      <c r="I23" s="122">
        <f t="shared" si="0"/>
        <v>6</v>
      </c>
      <c r="J23" s="122">
        <f t="shared" si="0"/>
        <v>7</v>
      </c>
      <c r="K23" s="122">
        <f t="shared" si="0"/>
        <v>8</v>
      </c>
      <c r="L23" s="122">
        <f t="shared" si="0"/>
        <v>9</v>
      </c>
      <c r="M23" s="122">
        <f t="shared" si="0"/>
        <v>10</v>
      </c>
      <c r="N23" s="122">
        <f t="shared" si="0"/>
        <v>11</v>
      </c>
      <c r="O23" s="122">
        <f t="shared" si="0"/>
        <v>12</v>
      </c>
      <c r="P23" s="122">
        <f t="shared" si="0"/>
        <v>13</v>
      </c>
      <c r="Q23" s="122">
        <f t="shared" si="0"/>
        <v>14</v>
      </c>
      <c r="R23" s="122">
        <f t="shared" si="0"/>
        <v>15</v>
      </c>
      <c r="S23" s="122">
        <f t="shared" si="0"/>
        <v>16</v>
      </c>
      <c r="T23" s="122">
        <f t="shared" si="0"/>
        <v>17</v>
      </c>
      <c r="U23" s="122">
        <f t="shared" si="0"/>
        <v>18</v>
      </c>
      <c r="V23" s="122">
        <f t="shared" si="0"/>
        <v>19</v>
      </c>
      <c r="W23" s="131">
        <f>V23+1</f>
        <v>20</v>
      </c>
    </row>
    <row r="24" spans="1:23" s="38" customFormat="1" x14ac:dyDescent="0.25">
      <c r="A24" s="39"/>
      <c r="B24" s="166" t="s">
        <v>108</v>
      </c>
      <c r="C24" s="94" t="str">
        <f>Currency</f>
        <v>EUR</v>
      </c>
      <c r="D24" s="189">
        <f t="shared" ref="D24:W24" si="1">IF($C$20&gt;=D23,($C$17*$C$18),0)</f>
        <v>84916.44</v>
      </c>
      <c r="E24" s="189">
        <f t="shared" si="1"/>
        <v>84916.44</v>
      </c>
      <c r="F24" s="189">
        <f t="shared" si="1"/>
        <v>84916.44</v>
      </c>
      <c r="G24" s="189">
        <f t="shared" si="1"/>
        <v>84916.44</v>
      </c>
      <c r="H24" s="189">
        <f t="shared" si="1"/>
        <v>84916.44</v>
      </c>
      <c r="I24" s="189">
        <f t="shared" si="1"/>
        <v>84916.44</v>
      </c>
      <c r="J24" s="189">
        <f t="shared" si="1"/>
        <v>84916.44</v>
      </c>
      <c r="K24" s="189">
        <f t="shared" si="1"/>
        <v>84916.44</v>
      </c>
      <c r="L24" s="189">
        <f t="shared" si="1"/>
        <v>84916.44</v>
      </c>
      <c r="M24" s="189">
        <f t="shared" si="1"/>
        <v>84916.44</v>
      </c>
      <c r="N24" s="189">
        <f t="shared" si="1"/>
        <v>0</v>
      </c>
      <c r="O24" s="189">
        <f t="shared" si="1"/>
        <v>0</v>
      </c>
      <c r="P24" s="189">
        <f t="shared" si="1"/>
        <v>0</v>
      </c>
      <c r="Q24" s="189">
        <f t="shared" si="1"/>
        <v>0</v>
      </c>
      <c r="R24" s="189">
        <f t="shared" si="1"/>
        <v>0</v>
      </c>
      <c r="S24" s="189">
        <f t="shared" si="1"/>
        <v>0</v>
      </c>
      <c r="T24" s="189">
        <f t="shared" si="1"/>
        <v>0</v>
      </c>
      <c r="U24" s="189">
        <f t="shared" si="1"/>
        <v>0</v>
      </c>
      <c r="V24" s="189">
        <f t="shared" si="1"/>
        <v>0</v>
      </c>
      <c r="W24" s="202">
        <f t="shared" si="1"/>
        <v>0</v>
      </c>
    </row>
    <row r="25" spans="1:23" s="38" customFormat="1" x14ac:dyDescent="0.25">
      <c r="A25" s="39"/>
      <c r="B25" s="166" t="s">
        <v>109</v>
      </c>
      <c r="C25" s="94" t="str">
        <f>Currency</f>
        <v>EUR</v>
      </c>
      <c r="D25" s="189">
        <f t="shared" ref="D25:W25" si="2">IF(D23=$C$20, $C$17, 0)</f>
        <v>0</v>
      </c>
      <c r="E25" s="189">
        <f t="shared" si="2"/>
        <v>0</v>
      </c>
      <c r="F25" s="189">
        <f t="shared" si="2"/>
        <v>0</v>
      </c>
      <c r="G25" s="189">
        <f t="shared" si="2"/>
        <v>0</v>
      </c>
      <c r="H25" s="189">
        <f t="shared" si="2"/>
        <v>0</v>
      </c>
      <c r="I25" s="189">
        <f t="shared" si="2"/>
        <v>0</v>
      </c>
      <c r="J25" s="189">
        <f t="shared" si="2"/>
        <v>0</v>
      </c>
      <c r="K25" s="189">
        <f t="shared" si="2"/>
        <v>0</v>
      </c>
      <c r="L25" s="189">
        <f t="shared" si="2"/>
        <v>0</v>
      </c>
      <c r="M25" s="189">
        <f t="shared" si="2"/>
        <v>1769092.5</v>
      </c>
      <c r="N25" s="189">
        <f t="shared" si="2"/>
        <v>0</v>
      </c>
      <c r="O25" s="189">
        <f t="shared" si="2"/>
        <v>0</v>
      </c>
      <c r="P25" s="189">
        <f t="shared" si="2"/>
        <v>0</v>
      </c>
      <c r="Q25" s="189">
        <f t="shared" si="2"/>
        <v>0</v>
      </c>
      <c r="R25" s="189">
        <f t="shared" si="2"/>
        <v>0</v>
      </c>
      <c r="S25" s="189">
        <f t="shared" si="2"/>
        <v>0</v>
      </c>
      <c r="T25" s="189">
        <f t="shared" si="2"/>
        <v>0</v>
      </c>
      <c r="U25" s="189">
        <f t="shared" si="2"/>
        <v>0</v>
      </c>
      <c r="V25" s="189">
        <f t="shared" si="2"/>
        <v>0</v>
      </c>
      <c r="W25" s="202">
        <f t="shared" si="2"/>
        <v>0</v>
      </c>
    </row>
    <row r="26" spans="1:23" s="38" customFormat="1" x14ac:dyDescent="0.25">
      <c r="A26" s="39"/>
      <c r="B26" s="166" t="s">
        <v>89</v>
      </c>
      <c r="C26" s="94" t="s">
        <v>44</v>
      </c>
      <c r="D26" s="189">
        <f>C8</f>
        <v>44227.3125</v>
      </c>
      <c r="E26" s="189"/>
      <c r="F26" s="189"/>
      <c r="G26" s="189"/>
      <c r="H26" s="189"/>
      <c r="I26" s="189"/>
      <c r="J26" s="189"/>
      <c r="K26" s="189"/>
      <c r="L26" s="189"/>
      <c r="M26" s="189"/>
      <c r="N26" s="189"/>
      <c r="O26" s="189"/>
      <c r="P26" s="189"/>
      <c r="Q26" s="189"/>
      <c r="R26" s="189"/>
      <c r="S26" s="189"/>
      <c r="T26" s="189"/>
      <c r="U26" s="189"/>
      <c r="V26" s="189"/>
      <c r="W26" s="202"/>
    </row>
    <row r="27" spans="1:23" s="38" customFormat="1" x14ac:dyDescent="0.25">
      <c r="A27" s="39"/>
      <c r="B27" s="166" t="s">
        <v>115</v>
      </c>
      <c r="C27" s="94" t="s">
        <v>44</v>
      </c>
      <c r="D27" s="189">
        <f t="shared" ref="D27:W27" si="3">IF($C$20&gt;=D23,($C$13),0)</f>
        <v>53072.775000000001</v>
      </c>
      <c r="E27" s="189">
        <f t="shared" si="3"/>
        <v>53072.775000000001</v>
      </c>
      <c r="F27" s="189">
        <f t="shared" si="3"/>
        <v>53072.775000000001</v>
      </c>
      <c r="G27" s="189">
        <f t="shared" si="3"/>
        <v>53072.775000000001</v>
      </c>
      <c r="H27" s="189">
        <f t="shared" si="3"/>
        <v>53072.775000000001</v>
      </c>
      <c r="I27" s="189">
        <f t="shared" si="3"/>
        <v>53072.775000000001</v>
      </c>
      <c r="J27" s="189">
        <f t="shared" si="3"/>
        <v>53072.775000000001</v>
      </c>
      <c r="K27" s="189">
        <f t="shared" si="3"/>
        <v>53072.775000000001</v>
      </c>
      <c r="L27" s="189">
        <f t="shared" si="3"/>
        <v>53072.775000000001</v>
      </c>
      <c r="M27" s="189">
        <f t="shared" si="3"/>
        <v>53072.775000000001</v>
      </c>
      <c r="N27" s="189">
        <f t="shared" si="3"/>
        <v>0</v>
      </c>
      <c r="O27" s="189">
        <f t="shared" si="3"/>
        <v>0</v>
      </c>
      <c r="P27" s="189">
        <f t="shared" si="3"/>
        <v>0</v>
      </c>
      <c r="Q27" s="189">
        <f t="shared" si="3"/>
        <v>0</v>
      </c>
      <c r="R27" s="189">
        <f t="shared" si="3"/>
        <v>0</v>
      </c>
      <c r="S27" s="189">
        <f t="shared" si="3"/>
        <v>0</v>
      </c>
      <c r="T27" s="189">
        <f t="shared" si="3"/>
        <v>0</v>
      </c>
      <c r="U27" s="189">
        <f t="shared" si="3"/>
        <v>0</v>
      </c>
      <c r="V27" s="189">
        <f t="shared" si="3"/>
        <v>0</v>
      </c>
      <c r="W27" s="202">
        <f t="shared" si="3"/>
        <v>0</v>
      </c>
    </row>
    <row r="28" spans="1:23" ht="15.75" thickBot="1" x14ac:dyDescent="0.3">
      <c r="B28" s="203" t="s">
        <v>104</v>
      </c>
      <c r="C28" s="204" t="s">
        <v>44</v>
      </c>
      <c r="D28" s="205">
        <f>D24+D25</f>
        <v>84916.44</v>
      </c>
      <c r="E28" s="205">
        <f t="shared" ref="E28:W28" si="4">E24+E25</f>
        <v>84916.44</v>
      </c>
      <c r="F28" s="205">
        <f t="shared" si="4"/>
        <v>84916.44</v>
      </c>
      <c r="G28" s="205">
        <f t="shared" si="4"/>
        <v>84916.44</v>
      </c>
      <c r="H28" s="205">
        <f t="shared" si="4"/>
        <v>84916.44</v>
      </c>
      <c r="I28" s="205">
        <f t="shared" si="4"/>
        <v>84916.44</v>
      </c>
      <c r="J28" s="205">
        <f t="shared" si="4"/>
        <v>84916.44</v>
      </c>
      <c r="K28" s="205">
        <f t="shared" si="4"/>
        <v>84916.44</v>
      </c>
      <c r="L28" s="205">
        <f t="shared" si="4"/>
        <v>84916.44</v>
      </c>
      <c r="M28" s="205">
        <f t="shared" si="4"/>
        <v>1854008.94</v>
      </c>
      <c r="N28" s="205">
        <f t="shared" si="4"/>
        <v>0</v>
      </c>
      <c r="O28" s="205">
        <f t="shared" si="4"/>
        <v>0</v>
      </c>
      <c r="P28" s="205">
        <f t="shared" si="4"/>
        <v>0</v>
      </c>
      <c r="Q28" s="205">
        <f t="shared" si="4"/>
        <v>0</v>
      </c>
      <c r="R28" s="205">
        <f t="shared" si="4"/>
        <v>0</v>
      </c>
      <c r="S28" s="205">
        <f t="shared" si="4"/>
        <v>0</v>
      </c>
      <c r="T28" s="205">
        <f t="shared" si="4"/>
        <v>0</v>
      </c>
      <c r="U28" s="205">
        <f t="shared" si="4"/>
        <v>0</v>
      </c>
      <c r="V28" s="205">
        <f t="shared" si="4"/>
        <v>0</v>
      </c>
      <c r="W28" s="206">
        <f t="shared" si="4"/>
        <v>0</v>
      </c>
    </row>
  </sheetData>
  <mergeCells count="1">
    <mergeCell ref="B4:E4"/>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40213-E2CF-44CE-B76E-ABE38B840929}">
  <sheetPr codeName="Sheet20"/>
  <dimension ref="A1:D10"/>
  <sheetViews>
    <sheetView workbookViewId="0">
      <selection activeCell="I23" sqref="I23"/>
    </sheetView>
  </sheetViews>
  <sheetFormatPr defaultColWidth="9.140625" defaultRowHeight="15" x14ac:dyDescent="0.3"/>
  <cols>
    <col min="1" max="4" width="17.42578125" style="1" customWidth="1"/>
    <col min="5" max="16384" width="9.140625" style="1"/>
  </cols>
  <sheetData>
    <row r="1" spans="1:4" ht="45" x14ac:dyDescent="0.3">
      <c r="A1" s="14" t="s">
        <v>124</v>
      </c>
      <c r="B1" s="4" t="s">
        <v>125</v>
      </c>
      <c r="C1" s="15" t="s">
        <v>126</v>
      </c>
      <c r="D1" s="15" t="s">
        <v>127</v>
      </c>
    </row>
    <row r="2" spans="1:4" x14ac:dyDescent="0.3">
      <c r="A2" s="16" t="s">
        <v>128</v>
      </c>
      <c r="B2" s="19" t="e">
        <f>#REF!</f>
        <v>#REF!</v>
      </c>
      <c r="C2" s="19">
        <v>-5.3042821644748828E-2</v>
      </c>
      <c r="D2" s="19">
        <v>-2.2305947820049465E-2</v>
      </c>
    </row>
    <row r="3" spans="1:4" x14ac:dyDescent="0.3">
      <c r="A3" s="16" t="s">
        <v>129</v>
      </c>
      <c r="B3" s="18" t="e">
        <f>#REF!</f>
        <v>#REF!</v>
      </c>
      <c r="C3" s="18">
        <v>-1039918.0233894917</v>
      </c>
      <c r="D3" s="18">
        <v>-542418.02338949172</v>
      </c>
    </row>
    <row r="4" spans="1:4" x14ac:dyDescent="0.3">
      <c r="A4" s="16" t="s">
        <v>130</v>
      </c>
      <c r="B4" s="17" t="s">
        <v>131</v>
      </c>
      <c r="C4" s="17" t="s">
        <v>131</v>
      </c>
      <c r="D4" s="17" t="s">
        <v>131</v>
      </c>
    </row>
    <row r="7" spans="1:4" ht="30" x14ac:dyDescent="0.3">
      <c r="A7" s="14" t="s">
        <v>124</v>
      </c>
      <c r="B7" s="4" t="s">
        <v>125</v>
      </c>
      <c r="C7" s="15" t="s">
        <v>132</v>
      </c>
      <c r="D7" s="15" t="s">
        <v>133</v>
      </c>
    </row>
    <row r="8" spans="1:4" x14ac:dyDescent="0.3">
      <c r="A8" s="16" t="s">
        <v>128</v>
      </c>
      <c r="B8" s="19" t="e">
        <f>B2</f>
        <v>#REF!</v>
      </c>
      <c r="C8" s="19">
        <v>-2.6492316286884532E-2</v>
      </c>
      <c r="D8" s="19">
        <v>-5.4716001884670074E-2</v>
      </c>
    </row>
    <row r="9" spans="1:4" x14ac:dyDescent="0.3">
      <c r="A9" s="16" t="s">
        <v>134</v>
      </c>
      <c r="B9" s="18" t="e">
        <f>B3</f>
        <v>#REF!</v>
      </c>
      <c r="C9" s="18">
        <v>-707037.54148247687</v>
      </c>
      <c r="D9" s="18">
        <v>-875298.50529650669</v>
      </c>
    </row>
    <row r="10" spans="1:4" x14ac:dyDescent="0.3">
      <c r="A10" s="16" t="s">
        <v>130</v>
      </c>
      <c r="B10" s="17" t="str">
        <f>B4</f>
        <v>50&gt;</v>
      </c>
      <c r="C10" s="17" t="s">
        <v>131</v>
      </c>
      <c r="D10" s="17" t="s">
        <v>131</v>
      </c>
    </row>
  </sheetData>
  <pageMargins left="0.7" right="0.7" top="0.75" bottom="0.75" header="0.3" footer="0.3"/>
  <pageSetup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1"/>
  <dimension ref="A1:E23"/>
  <sheetViews>
    <sheetView workbookViewId="0"/>
  </sheetViews>
  <sheetFormatPr defaultColWidth="9.140625" defaultRowHeight="15" x14ac:dyDescent="0.3"/>
  <cols>
    <col min="1" max="1" width="39" style="1" bestFit="1" customWidth="1"/>
    <col min="2" max="5" width="15.140625" style="1" customWidth="1"/>
    <col min="6" max="11" width="10.140625" style="1" customWidth="1"/>
    <col min="12" max="16384" width="9.140625" style="1"/>
  </cols>
  <sheetData>
    <row r="1" spans="1:5" x14ac:dyDescent="0.3">
      <c r="A1" s="13" t="s">
        <v>135</v>
      </c>
      <c r="B1" s="2" t="e">
        <f>#REF!</f>
        <v>#REF!</v>
      </c>
      <c r="C1" s="3"/>
      <c r="D1" s="3"/>
      <c r="E1" s="3"/>
    </row>
    <row r="2" spans="1:5" x14ac:dyDescent="0.3">
      <c r="A2" s="13" t="s">
        <v>136</v>
      </c>
      <c r="B2" s="2" t="e">
        <f>B1*B3</f>
        <v>#REF!</v>
      </c>
      <c r="C2" s="3"/>
      <c r="D2" s="3"/>
      <c r="E2" s="3"/>
    </row>
    <row r="3" spans="1:5" x14ac:dyDescent="0.3">
      <c r="A3" s="13" t="s">
        <v>137</v>
      </c>
      <c r="B3" s="20"/>
      <c r="C3" s="3"/>
      <c r="D3" s="3"/>
      <c r="E3" s="3"/>
    </row>
    <row r="4" spans="1:5" x14ac:dyDescent="0.3">
      <c r="A4" s="13" t="s">
        <v>138</v>
      </c>
      <c r="B4" s="6">
        <v>2</v>
      </c>
      <c r="C4" s="8"/>
      <c r="D4" s="8"/>
      <c r="E4" s="8"/>
    </row>
    <row r="5" spans="1:5" x14ac:dyDescent="0.3">
      <c r="A5" s="13" t="s">
        <v>139</v>
      </c>
      <c r="B5" s="6">
        <f>(1+(B4)/100)</f>
        <v>1.02</v>
      </c>
      <c r="C5" s="8"/>
      <c r="D5" s="8"/>
      <c r="E5" s="8"/>
    </row>
    <row r="6" spans="1:5" x14ac:dyDescent="0.3">
      <c r="A6" s="13" t="s">
        <v>140</v>
      </c>
      <c r="B6" s="6">
        <f>(POWER(B5,B7)*(B5-1))/(POWER(B5,B7)-1)</f>
        <v>6.115671812529045E-2</v>
      </c>
      <c r="C6" s="8"/>
      <c r="D6" s="8"/>
      <c r="E6" s="8"/>
    </row>
    <row r="7" spans="1:5" x14ac:dyDescent="0.3">
      <c r="A7" s="13" t="s">
        <v>141</v>
      </c>
      <c r="B7" s="2">
        <v>20</v>
      </c>
      <c r="C7" s="3"/>
      <c r="D7" s="3"/>
      <c r="E7" s="3"/>
    </row>
    <row r="8" spans="1:5" x14ac:dyDescent="0.3">
      <c r="A8" s="13" t="s">
        <v>142</v>
      </c>
      <c r="B8" s="2" t="e">
        <f>B2*B6</f>
        <v>#REF!</v>
      </c>
      <c r="C8" s="3"/>
      <c r="D8" s="3"/>
      <c r="E8" s="3"/>
    </row>
    <row r="9" spans="1:5" x14ac:dyDescent="0.3">
      <c r="B9" s="9"/>
      <c r="C9" s="9"/>
      <c r="D9" s="9"/>
      <c r="E9" s="9"/>
    </row>
    <row r="10" spans="1:5" x14ac:dyDescent="0.3">
      <c r="B10" s="7"/>
    </row>
    <row r="11" spans="1:5" x14ac:dyDescent="0.3">
      <c r="A11" s="10" t="s">
        <v>141</v>
      </c>
      <c r="B11" s="11" t="s">
        <v>143</v>
      </c>
      <c r="C11" s="10" t="s">
        <v>144</v>
      </c>
      <c r="D11" s="10" t="s">
        <v>145</v>
      </c>
      <c r="E11" s="10" t="s">
        <v>146</v>
      </c>
    </row>
    <row r="12" spans="1:5" x14ac:dyDescent="0.3">
      <c r="A12" s="5">
        <v>0</v>
      </c>
      <c r="B12" s="12"/>
      <c r="C12" s="5"/>
      <c r="D12" s="12"/>
      <c r="E12" s="2" t="e">
        <f>B1*B3</f>
        <v>#REF!</v>
      </c>
    </row>
    <row r="13" spans="1:5" x14ac:dyDescent="0.3">
      <c r="A13" s="5">
        <v>1</v>
      </c>
      <c r="B13" s="2" t="e">
        <f>$B$8</f>
        <v>#REF!</v>
      </c>
      <c r="C13" s="2" t="e">
        <f>($B$4/100)*E12</f>
        <v>#REF!</v>
      </c>
      <c r="D13" s="2" t="e">
        <f t="shared" ref="D13:D22" si="0">B13-C13</f>
        <v>#REF!</v>
      </c>
      <c r="E13" s="2" t="e">
        <f t="shared" ref="E13:E22" si="1">E12-D13</f>
        <v>#REF!</v>
      </c>
    </row>
    <row r="14" spans="1:5" x14ac:dyDescent="0.3">
      <c r="A14" s="5">
        <v>2</v>
      </c>
      <c r="B14" s="2" t="e">
        <f t="shared" ref="B14:B22" si="2">$B$8</f>
        <v>#REF!</v>
      </c>
      <c r="C14" s="2" t="e">
        <f t="shared" ref="C14:C22" si="3">($B$4/100)*E13</f>
        <v>#REF!</v>
      </c>
      <c r="D14" s="2" t="e">
        <f t="shared" si="0"/>
        <v>#REF!</v>
      </c>
      <c r="E14" s="2" t="e">
        <f t="shared" si="1"/>
        <v>#REF!</v>
      </c>
    </row>
    <row r="15" spans="1:5" x14ac:dyDescent="0.3">
      <c r="A15" s="5">
        <v>3</v>
      </c>
      <c r="B15" s="2" t="e">
        <f t="shared" si="2"/>
        <v>#REF!</v>
      </c>
      <c r="C15" s="2" t="e">
        <f t="shared" si="3"/>
        <v>#REF!</v>
      </c>
      <c r="D15" s="2" t="e">
        <f t="shared" si="0"/>
        <v>#REF!</v>
      </c>
      <c r="E15" s="2" t="e">
        <f t="shared" si="1"/>
        <v>#REF!</v>
      </c>
    </row>
    <row r="16" spans="1:5" x14ac:dyDescent="0.3">
      <c r="A16" s="5">
        <v>4</v>
      </c>
      <c r="B16" s="2" t="e">
        <f t="shared" si="2"/>
        <v>#REF!</v>
      </c>
      <c r="C16" s="2" t="e">
        <f t="shared" si="3"/>
        <v>#REF!</v>
      </c>
      <c r="D16" s="2" t="e">
        <f t="shared" si="0"/>
        <v>#REF!</v>
      </c>
      <c r="E16" s="2" t="e">
        <f t="shared" si="1"/>
        <v>#REF!</v>
      </c>
    </row>
    <row r="17" spans="1:5" x14ac:dyDescent="0.3">
      <c r="A17" s="5">
        <v>5</v>
      </c>
      <c r="B17" s="2" t="e">
        <f t="shared" si="2"/>
        <v>#REF!</v>
      </c>
      <c r="C17" s="2" t="e">
        <f t="shared" si="3"/>
        <v>#REF!</v>
      </c>
      <c r="D17" s="2" t="e">
        <f t="shared" si="0"/>
        <v>#REF!</v>
      </c>
      <c r="E17" s="2" t="e">
        <f t="shared" si="1"/>
        <v>#REF!</v>
      </c>
    </row>
    <row r="18" spans="1:5" x14ac:dyDescent="0.3">
      <c r="A18" s="5">
        <v>6</v>
      </c>
      <c r="B18" s="2" t="e">
        <f t="shared" si="2"/>
        <v>#REF!</v>
      </c>
      <c r="C18" s="2" t="e">
        <f t="shared" si="3"/>
        <v>#REF!</v>
      </c>
      <c r="D18" s="2" t="e">
        <f t="shared" si="0"/>
        <v>#REF!</v>
      </c>
      <c r="E18" s="2" t="e">
        <f t="shared" si="1"/>
        <v>#REF!</v>
      </c>
    </row>
    <row r="19" spans="1:5" x14ac:dyDescent="0.3">
      <c r="A19" s="5">
        <v>7</v>
      </c>
      <c r="B19" s="2" t="e">
        <f t="shared" si="2"/>
        <v>#REF!</v>
      </c>
      <c r="C19" s="2" t="e">
        <f t="shared" si="3"/>
        <v>#REF!</v>
      </c>
      <c r="D19" s="2" t="e">
        <f t="shared" si="0"/>
        <v>#REF!</v>
      </c>
      <c r="E19" s="2" t="e">
        <f t="shared" si="1"/>
        <v>#REF!</v>
      </c>
    </row>
    <row r="20" spans="1:5" x14ac:dyDescent="0.3">
      <c r="A20" s="5">
        <v>8</v>
      </c>
      <c r="B20" s="2" t="e">
        <f t="shared" si="2"/>
        <v>#REF!</v>
      </c>
      <c r="C20" s="2" t="e">
        <f t="shared" si="3"/>
        <v>#REF!</v>
      </c>
      <c r="D20" s="2" t="e">
        <f t="shared" si="0"/>
        <v>#REF!</v>
      </c>
      <c r="E20" s="2" t="e">
        <f t="shared" si="1"/>
        <v>#REF!</v>
      </c>
    </row>
    <row r="21" spans="1:5" x14ac:dyDescent="0.3">
      <c r="A21" s="5">
        <v>9</v>
      </c>
      <c r="B21" s="2" t="e">
        <f t="shared" si="2"/>
        <v>#REF!</v>
      </c>
      <c r="C21" s="2" t="e">
        <f t="shared" si="3"/>
        <v>#REF!</v>
      </c>
      <c r="D21" s="2" t="e">
        <f t="shared" si="0"/>
        <v>#REF!</v>
      </c>
      <c r="E21" s="2" t="e">
        <f t="shared" si="1"/>
        <v>#REF!</v>
      </c>
    </row>
    <row r="22" spans="1:5" x14ac:dyDescent="0.3">
      <c r="A22" s="5">
        <v>10</v>
      </c>
      <c r="B22" s="2" t="e">
        <f t="shared" si="2"/>
        <v>#REF!</v>
      </c>
      <c r="C22" s="2" t="e">
        <f t="shared" si="3"/>
        <v>#REF!</v>
      </c>
      <c r="D22" s="2" t="e">
        <f t="shared" si="0"/>
        <v>#REF!</v>
      </c>
      <c r="E22" s="2" t="e">
        <f t="shared" si="1"/>
        <v>#REF!</v>
      </c>
    </row>
    <row r="23" spans="1:5" x14ac:dyDescent="0.3">
      <c r="B23" s="3"/>
      <c r="C23" s="3"/>
      <c r="D23" s="3"/>
      <c r="E23" s="3"/>
    </row>
  </sheetData>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8A8EE2788C9CB419B11C63E9EB256BF" ma:contentTypeVersion="23" ma:contentTypeDescription="Create a new document." ma:contentTypeScope="" ma:versionID="df5f3b93bf9944ba49b20dd97dadc975">
  <xsd:schema xmlns:xsd="http://www.w3.org/2001/XMLSchema" xmlns:xs="http://www.w3.org/2001/XMLSchema" xmlns:p="http://schemas.microsoft.com/office/2006/metadata/properties" xmlns:ns2="f405dac0-8f1a-4ee4-b2ea-e4900d108b04" xmlns:ns3="440ed808-cdda-41e0-846a-fd93327d4947" targetNamespace="http://schemas.microsoft.com/office/2006/metadata/properties" ma:root="true" ma:fieldsID="3de88dc543581583088fc4e647e7f018" ns2:_="" ns3:_="">
    <xsd:import namespace="f405dac0-8f1a-4ee4-b2ea-e4900d108b04"/>
    <xsd:import namespace="440ed808-cdda-41e0-846a-fd93327d494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Vrstadokumenta" minOccurs="0"/>
                <xsd:element ref="ns2:Podru_x010d_je" minOccurs="0"/>
                <xsd:element ref="ns2:Tema" minOccurs="0"/>
                <xsd:element ref="ns2:Opis_kratki"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05dac0-8f1a-4ee4-b2ea-e4900d108b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Vrstadokumenta" ma:index="21" nillable="true" ma:displayName="Vrsta dokumenta" ma:format="Dropdown" ma:internalName="Vrstadokumenta">
      <xsd:simpleType>
        <xsd:restriction base="dms:Text">
          <xsd:maxLength value="255"/>
        </xsd:restriction>
      </xsd:simpleType>
    </xsd:element>
    <xsd:element name="Podru_x010d_je" ma:index="22" nillable="true" ma:displayName="Područje" ma:format="Dropdown" ma:internalName="Podru_x010d_je">
      <xsd:simpleType>
        <xsd:restriction base="dms:Choice">
          <xsd:enumeration value="Zagrebačka županija"/>
          <xsd:enumeration value="Karlovačka županija"/>
          <xsd:enumeration value="Krapinsko-zagorska županija"/>
          <xsd:enumeration value="Grad Zagreb"/>
          <xsd:enumeration value="RH"/>
        </xsd:restriction>
      </xsd:simpleType>
    </xsd:element>
    <xsd:element name="Tema" ma:index="23" nillable="true" ma:displayName="Tema" ma:format="Dropdown" ma:internalName="Tema">
      <xsd:simpleType>
        <xsd:restriction base="dms:Choice">
          <xsd:enumeration value="Financije"/>
          <xsd:enumeration value="Zgradarstvo"/>
          <xsd:enumeration value="Promet"/>
        </xsd:restriction>
      </xsd:simpleType>
    </xsd:element>
    <xsd:element name="Opis_kratki" ma:index="24" nillable="true" ma:displayName="Opis_kratki" ma:format="Dropdown" ma:internalName="Opis_kratki">
      <xsd:simpleType>
        <xsd:restriction base="dms:Text">
          <xsd:maxLength value="255"/>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e705d6b0-662f-4cf4-99c3-1fb03167861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0ed808-cdda-41e0-846a-fd93327d494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22350fdf-7897-4e61-83fb-63bd732ec30d}" ma:internalName="TaxCatchAll" ma:showField="CatchAllData" ma:web="440ed808-cdda-41e0-846a-fd93327d49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405dac0-8f1a-4ee4-b2ea-e4900d108b04">
      <Terms xmlns="http://schemas.microsoft.com/office/infopath/2007/PartnerControls"/>
    </lcf76f155ced4ddcb4097134ff3c332f>
    <Podru_x010d_je xmlns="f405dac0-8f1a-4ee4-b2ea-e4900d108b04" xsi:nil="true"/>
    <Vrstadokumenta xmlns="f405dac0-8f1a-4ee4-b2ea-e4900d108b04" xsi:nil="true"/>
    <TaxCatchAll xmlns="440ed808-cdda-41e0-846a-fd93327d4947" xsi:nil="true"/>
    <Opis_kratki xmlns="f405dac0-8f1a-4ee4-b2ea-e4900d108b04" xsi:nil="true"/>
    <Tema xmlns="f405dac0-8f1a-4ee4-b2ea-e4900d108b04" xsi:nil="true"/>
  </documentManagement>
</p:properties>
</file>

<file path=customXml/itemProps1.xml><?xml version="1.0" encoding="utf-8"?>
<ds:datastoreItem xmlns:ds="http://schemas.openxmlformats.org/officeDocument/2006/customXml" ds:itemID="{7898BC2B-6A3C-4A04-B063-2052C4857B5E}">
  <ds:schemaRefs>
    <ds:schemaRef ds:uri="http://schemas.microsoft.com/sharepoint/v3/contenttype/forms"/>
  </ds:schemaRefs>
</ds:datastoreItem>
</file>

<file path=customXml/itemProps2.xml><?xml version="1.0" encoding="utf-8"?>
<ds:datastoreItem xmlns:ds="http://schemas.openxmlformats.org/officeDocument/2006/customXml" ds:itemID="{EFC98CCE-4E85-4CA8-B4C1-4A2F47A0A2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05dac0-8f1a-4ee4-b2ea-e4900d108b04"/>
    <ds:schemaRef ds:uri="440ed808-cdda-41e0-846a-fd93327d49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FBB163-0EF2-4B9A-9795-C1FF26198E6A}">
  <ds:schemaRefs>
    <ds:schemaRef ds:uri="http://schemas.microsoft.com/office/2006/metadata/properties"/>
    <ds:schemaRef ds:uri="http://schemas.microsoft.com/office/infopath/2007/PartnerControls"/>
    <ds:schemaRef ds:uri="f405dac0-8f1a-4ee4-b2ea-e4900d108b04"/>
    <ds:schemaRef ds:uri="440ed808-cdda-41e0-846a-fd93327d494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17</vt:i4>
      </vt:variant>
      <vt:variant>
        <vt:lpstr>Imenovani rasponi</vt:lpstr>
      </vt:variant>
      <vt:variant>
        <vt:i4>2</vt:i4>
      </vt:variant>
    </vt:vector>
  </HeadingPairs>
  <TitlesOfParts>
    <vt:vector size="19" baseType="lpstr">
      <vt:lpstr>Cover</vt:lpstr>
      <vt:lpstr>Project Info</vt:lpstr>
      <vt:lpstr>Disclamer</vt:lpstr>
      <vt:lpstr>Intro</vt:lpstr>
      <vt:lpstr>Definitions</vt:lpstr>
      <vt:lpstr>Dashboard</vt:lpstr>
      <vt:lpstr>INPUTS</vt:lpstr>
      <vt:lpstr>Own Funds</vt:lpstr>
      <vt:lpstr>Own funds + Grant</vt:lpstr>
      <vt:lpstr>Standard loan</vt:lpstr>
      <vt:lpstr>Loan + Grant</vt:lpstr>
      <vt:lpstr>Green loan</vt:lpstr>
      <vt:lpstr>Capital rebate loan (FIs)</vt:lpstr>
      <vt:lpstr>Bonds (standard II)</vt:lpstr>
      <vt:lpstr>Bonds (EuGBS-SLB)</vt:lpstr>
      <vt:lpstr>Analiza osjetljivosti</vt:lpstr>
      <vt:lpstr>Kredit</vt:lpstr>
      <vt:lpstr>Currency</vt:lpstr>
      <vt:lpstr>Definitions!Podrucje_ispisa</vt:lpstr>
    </vt:vector>
  </TitlesOfParts>
  <Manager/>
  <Company>eihp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Hrvoje Maras</dc:creator>
  <cp:keywords/>
  <dc:description/>
  <cp:lastModifiedBy>Vedrana Vidiček</cp:lastModifiedBy>
  <cp:revision/>
  <dcterms:created xsi:type="dcterms:W3CDTF">2003-10-27T10:34:20Z</dcterms:created>
  <dcterms:modified xsi:type="dcterms:W3CDTF">2025-07-23T08:41:26Z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0x01010078A8EE2788C9CB419B11C63E9EB256BF</vt:lpwstr>
  </property>
  <property fmtid="{D5CDD505-2E9C-101B-9397-08002B2CF9AE}" pid="3" name="MediaServiceImageTags">
    <vt:lpwstr/>
  </property>
</Properties>
</file>